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readinessStandards/attachments/"/>
    </mc:Choice>
  </mc:AlternateContent>
  <xr:revisionPtr revIDLastSave="0" documentId="8_{84CFA01E-A773-4DD4-A47C-E8864FB0D05A}" xr6:coauthVersionLast="47" xr6:coauthVersionMax="47" xr10:uidLastSave="{00000000-0000-0000-0000-000000000000}"/>
  <bookViews>
    <workbookView xWindow="-120" yWindow="-120" windowWidth="29040" windowHeight="15840" tabRatio="882" xr2:uid="{00000000-000D-0000-FFFF-FFFF00000000}"/>
  </bookViews>
  <sheets>
    <sheet name="Inventory" sheetId="9" r:id="rId1"/>
    <sheet name="Log" sheetId="10" r:id="rId2"/>
    <sheet name="VFA 10 Plane F35" sheetId="29" r:id="rId3"/>
    <sheet name="VFA 14 Plane F35" sheetId="35" r:id="rId4"/>
    <sheet name="VFA (F-35C FRS)" sheetId="34" r:id="rId5"/>
    <sheet name="VFA F-35C PDAA" sheetId="38" r:id="rId6"/>
    <sheet name="F-35C Matrix_New" sheetId="37" r:id="rId7"/>
    <sheet name="F-35C Matrix" sheetId="31" r:id="rId8"/>
    <sheet name="F-35C MIssion System Summary" sheetId="36" r:id="rId9"/>
    <sheet name="VFA F-35C Mission Systems" sheetId="32" r:id="rId10"/>
    <sheet name="Definitions" sheetId="33"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4" i="35" l="1"/>
  <c r="A105" i="35"/>
  <c r="A106" i="35"/>
  <c r="A107" i="35"/>
  <c r="A108" i="35"/>
  <c r="A109" i="35"/>
  <c r="A110" i="35"/>
  <c r="A120" i="35"/>
  <c r="A121" i="35"/>
  <c r="A122" i="35"/>
  <c r="A123" i="35"/>
  <c r="A124" i="35"/>
  <c r="A125" i="35"/>
  <c r="B117" i="29"/>
  <c r="E7" i="9"/>
  <c r="E8" i="9"/>
  <c r="E9" i="9"/>
  <c r="E10" i="9"/>
  <c r="E11" i="9"/>
  <c r="E12" i="9"/>
  <c r="E13" i="9"/>
  <c r="E14" i="9"/>
  <c r="E15" i="9"/>
  <c r="E16" i="9"/>
  <c r="E17" i="9"/>
  <c r="E18" i="9"/>
  <c r="E19" i="9"/>
  <c r="E20" i="9"/>
  <c r="E21" i="9"/>
  <c r="D5" i="9"/>
  <c r="E5" i="9" s="1"/>
  <c r="C5" i="9"/>
  <c r="A5" i="9"/>
  <c r="B18" i="38"/>
  <c r="B19" i="38"/>
  <c r="B21" i="38" s="1"/>
  <c r="B20" i="38" l="1"/>
  <c r="A104" i="29" l="1"/>
  <c r="A105" i="29"/>
  <c r="A106" i="29"/>
  <c r="A107" i="29"/>
  <c r="A108" i="29"/>
  <c r="A109" i="29"/>
  <c r="A110" i="29"/>
  <c r="A125" i="29"/>
  <c r="A124" i="29"/>
  <c r="A7" i="9"/>
  <c r="AC35" i="35"/>
  <c r="AB35" i="35"/>
  <c r="AA35" i="35"/>
  <c r="Z35" i="35"/>
  <c r="Y35" i="35"/>
  <c r="X35" i="35"/>
  <c r="W35" i="35"/>
  <c r="V35" i="35"/>
  <c r="U35" i="35"/>
  <c r="T35" i="35"/>
  <c r="S35" i="35"/>
  <c r="R35" i="35"/>
  <c r="Q35" i="35"/>
  <c r="P35" i="35"/>
  <c r="O35" i="35"/>
  <c r="N35" i="35"/>
  <c r="M35" i="35"/>
  <c r="L35" i="35"/>
  <c r="K35" i="35"/>
  <c r="J35" i="35"/>
  <c r="I35" i="35"/>
  <c r="H35" i="35"/>
  <c r="G35" i="35"/>
  <c r="F35" i="35"/>
  <c r="E35" i="35"/>
  <c r="D35" i="35"/>
  <c r="C35" i="35"/>
  <c r="B35" i="35"/>
  <c r="B125" i="35"/>
  <c r="B123" i="35"/>
  <c r="B122" i="35"/>
  <c r="B120" i="35"/>
  <c r="B119" i="35"/>
  <c r="A119" i="35"/>
  <c r="B118" i="35"/>
  <c r="A118" i="35"/>
  <c r="B117" i="35"/>
  <c r="B125" i="29"/>
  <c r="B123" i="29"/>
  <c r="B122" i="29"/>
  <c r="B120" i="29"/>
  <c r="B119" i="29"/>
  <c r="B118" i="29"/>
  <c r="A119" i="29"/>
  <c r="A120" i="29"/>
  <c r="A121" i="29"/>
  <c r="A122" i="29"/>
  <c r="A123" i="29"/>
  <c r="A118" i="29"/>
  <c r="B17" i="34"/>
  <c r="C4" i="9" l="1"/>
  <c r="C3" i="9"/>
  <c r="C2" i="9"/>
  <c r="D2" i="9" l="1"/>
  <c r="A3" i="9" l="1"/>
  <c r="D3" i="9" l="1"/>
  <c r="E3" i="9" s="1"/>
  <c r="B4" i="35"/>
  <c r="B9" i="35" s="1"/>
  <c r="L18" i="35"/>
  <c r="M18" i="35"/>
  <c r="N18" i="35"/>
  <c r="O18" i="35"/>
  <c r="P18" i="35"/>
  <c r="Q18" i="35"/>
  <c r="R18" i="35"/>
  <c r="S18" i="35"/>
  <c r="T18" i="35"/>
  <c r="U18" i="35"/>
  <c r="V18" i="35"/>
  <c r="W18" i="35"/>
  <c r="X18" i="35"/>
  <c r="Y18" i="35"/>
  <c r="Z18" i="35"/>
  <c r="AA18" i="35"/>
  <c r="AB18" i="35"/>
  <c r="B24" i="35"/>
  <c r="C24" i="35"/>
  <c r="D24" i="35"/>
  <c r="E24" i="35"/>
  <c r="F24" i="35"/>
  <c r="G24" i="35"/>
  <c r="H24" i="35"/>
  <c r="I24" i="35"/>
  <c r="K24" i="35"/>
  <c r="N24" i="35"/>
  <c r="O24" i="35"/>
  <c r="Y24" i="35"/>
  <c r="Z24" i="35"/>
  <c r="AA24" i="35"/>
  <c r="AB24" i="35"/>
  <c r="AC24" i="35"/>
  <c r="J26" i="35"/>
  <c r="M26" i="35"/>
  <c r="P26" i="35"/>
  <c r="Q26" i="35"/>
  <c r="R26" i="35"/>
  <c r="S26" i="35"/>
  <c r="T26" i="35"/>
  <c r="U26" i="35"/>
  <c r="V26" i="35"/>
  <c r="W26" i="35"/>
  <c r="X26" i="35"/>
  <c r="B30" i="35"/>
  <c r="C30" i="35"/>
  <c r="D30" i="35"/>
  <c r="E30" i="35"/>
  <c r="F30" i="35"/>
  <c r="G30" i="35"/>
  <c r="H30" i="35"/>
  <c r="I30" i="35"/>
  <c r="J30" i="35"/>
  <c r="K30" i="35"/>
  <c r="L30" i="35"/>
  <c r="M30" i="35"/>
  <c r="N30" i="35"/>
  <c r="O30" i="35"/>
  <c r="P30" i="35"/>
  <c r="Q30" i="35"/>
  <c r="R30" i="35"/>
  <c r="S30" i="35"/>
  <c r="T30" i="35"/>
  <c r="U30" i="35"/>
  <c r="V30" i="35"/>
  <c r="W30" i="35"/>
  <c r="X30" i="35"/>
  <c r="Y30" i="35"/>
  <c r="Z30" i="35"/>
  <c r="AA30" i="35"/>
  <c r="AB30" i="35"/>
  <c r="AC30" i="35"/>
  <c r="B33" i="35"/>
  <c r="B36" i="35" s="1"/>
  <c r="B44" i="35" s="1"/>
  <c r="C33" i="35"/>
  <c r="C36" i="35" s="1"/>
  <c r="C44" i="35" s="1"/>
  <c r="D33" i="35"/>
  <c r="D36" i="35" s="1"/>
  <c r="D44" i="35" s="1"/>
  <c r="E33" i="35"/>
  <c r="E36" i="35" s="1"/>
  <c r="E44" i="35" s="1"/>
  <c r="F33" i="35"/>
  <c r="F36" i="35" s="1"/>
  <c r="F44" i="35" s="1"/>
  <c r="G33" i="35"/>
  <c r="G36" i="35" s="1"/>
  <c r="G44" i="35" s="1"/>
  <c r="H33" i="35"/>
  <c r="H36" i="35" s="1"/>
  <c r="H44" i="35" s="1"/>
  <c r="I33" i="35"/>
  <c r="I36" i="35" s="1"/>
  <c r="I44" i="35" s="1"/>
  <c r="J33" i="35"/>
  <c r="J36" i="35" s="1"/>
  <c r="J44" i="35" s="1"/>
  <c r="K33" i="35"/>
  <c r="K36" i="35" s="1"/>
  <c r="K44" i="35" s="1"/>
  <c r="L33" i="35"/>
  <c r="L36" i="35" s="1"/>
  <c r="L44" i="35" s="1"/>
  <c r="M33" i="35"/>
  <c r="M36" i="35" s="1"/>
  <c r="M44" i="35" s="1"/>
  <c r="N33" i="35"/>
  <c r="N36" i="35" s="1"/>
  <c r="N44" i="35" s="1"/>
  <c r="O33" i="35"/>
  <c r="O36" i="35" s="1"/>
  <c r="O44" i="35" s="1"/>
  <c r="P33" i="35"/>
  <c r="P36" i="35" s="1"/>
  <c r="P44" i="35" s="1"/>
  <c r="Q33" i="35"/>
  <c r="Q36" i="35" s="1"/>
  <c r="Q44" i="35" s="1"/>
  <c r="R33" i="35"/>
  <c r="R36" i="35" s="1"/>
  <c r="R44" i="35" s="1"/>
  <c r="S33" i="35"/>
  <c r="S36" i="35" s="1"/>
  <c r="S44" i="35" s="1"/>
  <c r="T33" i="35"/>
  <c r="T36" i="35" s="1"/>
  <c r="T44" i="35" s="1"/>
  <c r="U33" i="35"/>
  <c r="U36" i="35" s="1"/>
  <c r="U44" i="35" s="1"/>
  <c r="V33" i="35"/>
  <c r="V36" i="35" s="1"/>
  <c r="V44" i="35" s="1"/>
  <c r="W33" i="35"/>
  <c r="W36" i="35" s="1"/>
  <c r="W44" i="35" s="1"/>
  <c r="X33" i="35"/>
  <c r="X36" i="35" s="1"/>
  <c r="X44" i="35" s="1"/>
  <c r="Y33" i="35"/>
  <c r="Y36" i="35" s="1"/>
  <c r="Y44" i="35" s="1"/>
  <c r="Z33" i="35"/>
  <c r="Z36" i="35" s="1"/>
  <c r="Z44" i="35" s="1"/>
  <c r="AA33" i="35"/>
  <c r="AA36" i="35" s="1"/>
  <c r="AA44" i="35" s="1"/>
  <c r="AB33" i="35"/>
  <c r="AB36" i="35" s="1"/>
  <c r="AB44" i="35" s="1"/>
  <c r="AC33" i="35"/>
  <c r="AC36" i="35" s="1"/>
  <c r="AC44" i="35" s="1"/>
  <c r="B51" i="35"/>
  <c r="C51" i="35"/>
  <c r="D51" i="35"/>
  <c r="E51" i="35"/>
  <c r="F51" i="35"/>
  <c r="G51" i="35"/>
  <c r="H51" i="35"/>
  <c r="I51" i="35"/>
  <c r="J51" i="35"/>
  <c r="K51" i="35"/>
  <c r="L51" i="35"/>
  <c r="M51" i="35"/>
  <c r="N51" i="35"/>
  <c r="O51" i="35"/>
  <c r="P51" i="35"/>
  <c r="Q51" i="35"/>
  <c r="R51" i="35"/>
  <c r="S51" i="35"/>
  <c r="T51" i="35"/>
  <c r="U51" i="35"/>
  <c r="V51" i="35"/>
  <c r="W51" i="35"/>
  <c r="X51" i="35"/>
  <c r="Y51" i="35"/>
  <c r="Z51" i="35"/>
  <c r="AA51" i="35"/>
  <c r="AB51" i="35"/>
  <c r="AC51" i="35"/>
  <c r="B52" i="35"/>
  <c r="C52" i="35"/>
  <c r="D52" i="35"/>
  <c r="E52" i="35"/>
  <c r="F52" i="35"/>
  <c r="G52" i="35"/>
  <c r="H52" i="35"/>
  <c r="I52" i="35"/>
  <c r="J52" i="35"/>
  <c r="K52" i="35"/>
  <c r="L52" i="35"/>
  <c r="M52" i="35"/>
  <c r="N52" i="35"/>
  <c r="O52" i="35"/>
  <c r="P52" i="35"/>
  <c r="Q52" i="35"/>
  <c r="R52" i="35"/>
  <c r="S52" i="35"/>
  <c r="T52" i="35"/>
  <c r="U52" i="35"/>
  <c r="V52" i="35"/>
  <c r="W52" i="35"/>
  <c r="X52" i="35"/>
  <c r="Y52" i="35"/>
  <c r="Z52" i="35"/>
  <c r="AA52" i="35"/>
  <c r="AB52" i="35"/>
  <c r="AC52" i="35"/>
  <c r="B53" i="35"/>
  <c r="C53" i="35"/>
  <c r="D53" i="35"/>
  <c r="E53" i="35"/>
  <c r="F53" i="35"/>
  <c r="G53" i="35"/>
  <c r="H53" i="35"/>
  <c r="I53" i="35"/>
  <c r="J53" i="35"/>
  <c r="K53" i="35"/>
  <c r="L53" i="35"/>
  <c r="M53" i="35"/>
  <c r="N53" i="35"/>
  <c r="O53" i="35"/>
  <c r="P53" i="35"/>
  <c r="Q53" i="35"/>
  <c r="R53" i="35"/>
  <c r="S53" i="35"/>
  <c r="T53" i="35"/>
  <c r="U53" i="35"/>
  <c r="V53" i="35"/>
  <c r="W53" i="35"/>
  <c r="X53" i="35"/>
  <c r="Y53" i="35"/>
  <c r="Z53" i="35"/>
  <c r="AA53" i="35"/>
  <c r="AB53" i="35"/>
  <c r="AC53" i="35"/>
  <c r="B54" i="35"/>
  <c r="C54" i="35"/>
  <c r="D54" i="35"/>
  <c r="E54" i="35"/>
  <c r="F54" i="35"/>
  <c r="G54" i="35"/>
  <c r="H54" i="35"/>
  <c r="I54" i="35"/>
  <c r="J54" i="35"/>
  <c r="K54" i="35"/>
  <c r="L54" i="35"/>
  <c r="M54" i="35"/>
  <c r="N54" i="35"/>
  <c r="O54" i="35"/>
  <c r="P54" i="35"/>
  <c r="Q54" i="35"/>
  <c r="R54" i="35"/>
  <c r="S54" i="35"/>
  <c r="T54" i="35"/>
  <c r="U54" i="35"/>
  <c r="V54" i="35"/>
  <c r="W54" i="35"/>
  <c r="X54" i="35"/>
  <c r="Y54" i="35"/>
  <c r="Z54" i="35"/>
  <c r="AA54" i="35"/>
  <c r="AB54" i="35"/>
  <c r="AC54" i="35"/>
  <c r="B55" i="35"/>
  <c r="C55" i="35"/>
  <c r="D55" i="35"/>
  <c r="E55" i="35"/>
  <c r="F55" i="35"/>
  <c r="G55" i="35"/>
  <c r="H55" i="35"/>
  <c r="I55" i="35"/>
  <c r="J55" i="35"/>
  <c r="K55" i="35"/>
  <c r="L55" i="35"/>
  <c r="M55" i="35"/>
  <c r="N55" i="35"/>
  <c r="O55" i="35"/>
  <c r="P55" i="35"/>
  <c r="Q55" i="35"/>
  <c r="R55" i="35"/>
  <c r="S55" i="35"/>
  <c r="T55" i="35"/>
  <c r="U55" i="35"/>
  <c r="V55" i="35"/>
  <c r="W55" i="35"/>
  <c r="X55" i="35"/>
  <c r="Y55" i="35"/>
  <c r="Z55" i="35"/>
  <c r="AA55" i="35"/>
  <c r="AB55" i="35"/>
  <c r="AC55" i="35"/>
  <c r="B56" i="35"/>
  <c r="C56" i="35"/>
  <c r="D56" i="35"/>
  <c r="E56" i="35"/>
  <c r="F56" i="35"/>
  <c r="G56" i="35"/>
  <c r="H56" i="35"/>
  <c r="I56" i="35"/>
  <c r="J56" i="35"/>
  <c r="K56" i="35"/>
  <c r="L56" i="35"/>
  <c r="M56" i="35"/>
  <c r="N56" i="35"/>
  <c r="O56" i="35"/>
  <c r="P56" i="35"/>
  <c r="Q56" i="35"/>
  <c r="R56" i="35"/>
  <c r="S56" i="35"/>
  <c r="T56" i="35"/>
  <c r="U56" i="35"/>
  <c r="V56" i="35"/>
  <c r="W56" i="35"/>
  <c r="X56" i="35"/>
  <c r="Y56" i="35"/>
  <c r="Z56" i="35"/>
  <c r="AA56" i="35"/>
  <c r="AB56" i="35"/>
  <c r="AC56" i="35"/>
  <c r="B57" i="35"/>
  <c r="C57" i="35"/>
  <c r="D57" i="35"/>
  <c r="E57" i="35"/>
  <c r="F57" i="35"/>
  <c r="G57" i="35"/>
  <c r="H57" i="35"/>
  <c r="I57" i="35"/>
  <c r="J57" i="35"/>
  <c r="K57" i="35"/>
  <c r="L57" i="35"/>
  <c r="M57" i="35"/>
  <c r="N57" i="35"/>
  <c r="O57" i="35"/>
  <c r="P57" i="35"/>
  <c r="Q57" i="35"/>
  <c r="R57" i="35"/>
  <c r="S57" i="35"/>
  <c r="T57" i="35"/>
  <c r="U57" i="35"/>
  <c r="V57" i="35"/>
  <c r="W57" i="35"/>
  <c r="X57" i="35"/>
  <c r="Y57" i="35"/>
  <c r="Z57" i="35"/>
  <c r="AA57" i="35"/>
  <c r="AB57" i="35"/>
  <c r="AC57" i="35"/>
  <c r="B58" i="35"/>
  <c r="C58" i="35"/>
  <c r="D58" i="35"/>
  <c r="E58" i="35"/>
  <c r="F58" i="35"/>
  <c r="G58" i="35"/>
  <c r="H58" i="35"/>
  <c r="I58" i="35"/>
  <c r="J58" i="35"/>
  <c r="K58" i="35"/>
  <c r="L58" i="35"/>
  <c r="M58" i="35"/>
  <c r="N58" i="35"/>
  <c r="O58" i="35"/>
  <c r="P58" i="35"/>
  <c r="Q58" i="35"/>
  <c r="R58" i="35"/>
  <c r="S58" i="35"/>
  <c r="T58" i="35"/>
  <c r="U58" i="35"/>
  <c r="V58" i="35"/>
  <c r="W58" i="35"/>
  <c r="X58" i="35"/>
  <c r="Y58" i="35"/>
  <c r="Z58" i="35"/>
  <c r="AA58" i="35"/>
  <c r="AB58" i="35"/>
  <c r="AC58" i="35"/>
  <c r="B59" i="35"/>
  <c r="C59" i="35"/>
  <c r="D59" i="35"/>
  <c r="E59" i="35"/>
  <c r="F59" i="35"/>
  <c r="G59" i="35"/>
  <c r="H59" i="35"/>
  <c r="I59" i="35"/>
  <c r="J59" i="35"/>
  <c r="K59" i="35"/>
  <c r="L59" i="35"/>
  <c r="M59" i="35"/>
  <c r="N59" i="35"/>
  <c r="O59" i="35"/>
  <c r="P59" i="35"/>
  <c r="Q59" i="35"/>
  <c r="R59" i="35"/>
  <c r="S59" i="35"/>
  <c r="T59" i="35"/>
  <c r="U59" i="35"/>
  <c r="V59" i="35"/>
  <c r="W59" i="35"/>
  <c r="X59" i="35"/>
  <c r="Y59" i="35"/>
  <c r="Z59" i="35"/>
  <c r="AA59" i="35"/>
  <c r="AB59" i="35"/>
  <c r="B60" i="35"/>
  <c r="C60" i="35"/>
  <c r="D60" i="35"/>
  <c r="E60" i="35"/>
  <c r="F60" i="35"/>
  <c r="G60" i="35"/>
  <c r="H60" i="35"/>
  <c r="I60" i="35"/>
  <c r="J60" i="35"/>
  <c r="K60" i="35"/>
  <c r="L60" i="35"/>
  <c r="M60" i="35"/>
  <c r="N60" i="35"/>
  <c r="O60" i="35"/>
  <c r="P60" i="35"/>
  <c r="Q60" i="35"/>
  <c r="R60" i="35"/>
  <c r="S60" i="35"/>
  <c r="T60" i="35"/>
  <c r="U60" i="35"/>
  <c r="V60" i="35"/>
  <c r="W60" i="35"/>
  <c r="X60" i="35"/>
  <c r="Y60" i="35"/>
  <c r="Z60" i="35"/>
  <c r="AA60" i="35"/>
  <c r="AB60" i="35"/>
  <c r="A61" i="35"/>
  <c r="B61" i="35"/>
  <c r="C61" i="35"/>
  <c r="D61" i="35"/>
  <c r="E61" i="35"/>
  <c r="F61" i="35"/>
  <c r="G61" i="35"/>
  <c r="H61" i="35"/>
  <c r="I61" i="35"/>
  <c r="J61" i="35"/>
  <c r="K61" i="35"/>
  <c r="L61" i="35"/>
  <c r="M61" i="35"/>
  <c r="N61" i="35"/>
  <c r="O61" i="35"/>
  <c r="P61" i="35"/>
  <c r="Q61" i="35"/>
  <c r="R61" i="35"/>
  <c r="S61" i="35"/>
  <c r="T61" i="35"/>
  <c r="U61" i="35"/>
  <c r="V61" i="35"/>
  <c r="W61" i="35"/>
  <c r="X61" i="35"/>
  <c r="Y61" i="35"/>
  <c r="Z61" i="35"/>
  <c r="AA61" i="35"/>
  <c r="AB61" i="35"/>
  <c r="AC61" i="35"/>
  <c r="R74" i="35"/>
  <c r="S74" i="35"/>
  <c r="T74" i="35"/>
  <c r="U74" i="35"/>
  <c r="V74" i="35"/>
  <c r="W74" i="35"/>
  <c r="R75" i="35"/>
  <c r="S75" i="35"/>
  <c r="T75" i="35"/>
  <c r="U75" i="35"/>
  <c r="V75" i="35"/>
  <c r="W75" i="35"/>
  <c r="B77" i="35" a="1"/>
  <c r="B77" i="35" s="1"/>
  <c r="E71" i="35" s="1"/>
  <c r="A103" i="35"/>
  <c r="A112" i="35"/>
  <c r="A113" i="35"/>
  <c r="B10" i="35" l="1"/>
  <c r="X34" i="35"/>
  <c r="X37" i="35" s="1"/>
  <c r="X39" i="35"/>
  <c r="X40" i="35"/>
  <c r="X43" i="35"/>
  <c r="X41" i="35"/>
  <c r="X46" i="35"/>
  <c r="H34" i="35"/>
  <c r="H37" i="35" s="1"/>
  <c r="H40" i="35"/>
  <c r="H43" i="35"/>
  <c r="H41" i="35"/>
  <c r="H46" i="35"/>
  <c r="H39" i="35"/>
  <c r="J46" i="35"/>
  <c r="J43" i="35"/>
  <c r="J34" i="35"/>
  <c r="J37" i="35" s="1"/>
  <c r="J39" i="35"/>
  <c r="J41" i="35"/>
  <c r="J40" i="35"/>
  <c r="W34" i="35"/>
  <c r="W37" i="35" s="1"/>
  <c r="W39" i="35"/>
  <c r="W41" i="35"/>
  <c r="W40" i="35"/>
  <c r="W43" i="35"/>
  <c r="W46" i="35"/>
  <c r="G34" i="35"/>
  <c r="G37" i="35" s="1"/>
  <c r="G46" i="35"/>
  <c r="G39" i="35"/>
  <c r="G40" i="35"/>
  <c r="G43" i="35"/>
  <c r="G41" i="35"/>
  <c r="Y34" i="35"/>
  <c r="Y37" i="35" s="1"/>
  <c r="Y43" i="35"/>
  <c r="Y46" i="35"/>
  <c r="Y39" i="35"/>
  <c r="Y41" i="35"/>
  <c r="Y40" i="35"/>
  <c r="V46" i="35"/>
  <c r="V43" i="35"/>
  <c r="V41" i="35"/>
  <c r="V34" i="35"/>
  <c r="V37" i="35" s="1"/>
  <c r="V39" i="35"/>
  <c r="V40" i="35"/>
  <c r="F46" i="35"/>
  <c r="F43" i="35"/>
  <c r="F41" i="35"/>
  <c r="F34" i="35"/>
  <c r="F37" i="35" s="1"/>
  <c r="F39" i="35"/>
  <c r="F40" i="35"/>
  <c r="U43" i="35"/>
  <c r="U34" i="35"/>
  <c r="U37" i="35" s="1"/>
  <c r="U41" i="35"/>
  <c r="U46" i="35"/>
  <c r="U40" i="35"/>
  <c r="U39" i="35"/>
  <c r="E43" i="35"/>
  <c r="E34" i="35"/>
  <c r="E37" i="35" s="1"/>
  <c r="E46" i="35"/>
  <c r="E40" i="35"/>
  <c r="E41" i="35"/>
  <c r="E39" i="35"/>
  <c r="T43" i="35"/>
  <c r="T34" i="35"/>
  <c r="T37" i="35" s="1"/>
  <c r="T39" i="35"/>
  <c r="T41" i="35"/>
  <c r="T40" i="35"/>
  <c r="T46" i="35"/>
  <c r="D43" i="35"/>
  <c r="D34" i="35"/>
  <c r="D37" i="35" s="1"/>
  <c r="D41" i="35"/>
  <c r="D40" i="35"/>
  <c r="D46" i="35"/>
  <c r="D39" i="35"/>
  <c r="S43" i="35"/>
  <c r="S46" i="35"/>
  <c r="S34" i="35"/>
  <c r="S37" i="35" s="1"/>
  <c r="S39" i="35"/>
  <c r="S41" i="35"/>
  <c r="S40" i="35"/>
  <c r="C43" i="35"/>
  <c r="C34" i="35"/>
  <c r="C37" i="35" s="1"/>
  <c r="C39" i="35"/>
  <c r="C41" i="35"/>
  <c r="C40" i="35"/>
  <c r="C46" i="35"/>
  <c r="R43" i="35"/>
  <c r="R41" i="35"/>
  <c r="R40" i="35"/>
  <c r="R46" i="35"/>
  <c r="R34" i="35"/>
  <c r="R37" i="35" s="1"/>
  <c r="R39" i="35"/>
  <c r="B43" i="35"/>
  <c r="B41" i="35"/>
  <c r="B40" i="35"/>
  <c r="B34" i="35"/>
  <c r="B37" i="35" s="1"/>
  <c r="B46" i="35"/>
  <c r="B39" i="35"/>
  <c r="Z46" i="35"/>
  <c r="Z43" i="35"/>
  <c r="Z39" i="35"/>
  <c r="Z34" i="35"/>
  <c r="Z37" i="35" s="1"/>
  <c r="Z41" i="35"/>
  <c r="Z40" i="35"/>
  <c r="Q41" i="35"/>
  <c r="Q34" i="35"/>
  <c r="Q37" i="35" s="1"/>
  <c r="Q46" i="35"/>
  <c r="Q43" i="35"/>
  <c r="Q39" i="35"/>
  <c r="Q40" i="35"/>
  <c r="I34" i="35"/>
  <c r="I37" i="35" s="1"/>
  <c r="I46" i="35"/>
  <c r="I39" i="35"/>
  <c r="I40" i="35"/>
  <c r="I43" i="35"/>
  <c r="I41" i="35"/>
  <c r="P41" i="35"/>
  <c r="P34" i="35"/>
  <c r="P37" i="35" s="1"/>
  <c r="P39" i="35"/>
  <c r="P43" i="35"/>
  <c r="P46" i="35"/>
  <c r="P40" i="35"/>
  <c r="O41" i="35"/>
  <c r="O34" i="35"/>
  <c r="O37" i="35" s="1"/>
  <c r="O40" i="35"/>
  <c r="O39" i="35"/>
  <c r="O43" i="35"/>
  <c r="O46" i="35"/>
  <c r="N41" i="35"/>
  <c r="N34" i="35"/>
  <c r="N37" i="35" s="1"/>
  <c r="N40" i="35"/>
  <c r="N39" i="35"/>
  <c r="N46" i="35"/>
  <c r="N43" i="35"/>
  <c r="AC46" i="35"/>
  <c r="AC34" i="35"/>
  <c r="AC37" i="35" s="1"/>
  <c r="AC43" i="35"/>
  <c r="AC41" i="35"/>
  <c r="AC40" i="35"/>
  <c r="AC39" i="35"/>
  <c r="M46" i="35"/>
  <c r="M34" i="35"/>
  <c r="M37" i="35" s="1"/>
  <c r="M43" i="35"/>
  <c r="M40" i="35"/>
  <c r="M39" i="35"/>
  <c r="M41" i="35"/>
  <c r="AB46" i="35"/>
  <c r="AB34" i="35"/>
  <c r="AB37" i="35" s="1"/>
  <c r="AB40" i="35"/>
  <c r="AB41" i="35"/>
  <c r="AB43" i="35"/>
  <c r="AB39" i="35"/>
  <c r="L46" i="35"/>
  <c r="L34" i="35"/>
  <c r="L37" i="35" s="1"/>
  <c r="L40" i="35"/>
  <c r="L41" i="35"/>
  <c r="L43" i="35"/>
  <c r="L39" i="35"/>
  <c r="AA46" i="35"/>
  <c r="AA39" i="35"/>
  <c r="AA34" i="35"/>
  <c r="AA37" i="35" s="1"/>
  <c r="AA43" i="35"/>
  <c r="AA41" i="35"/>
  <c r="AA40" i="35"/>
  <c r="K46" i="35"/>
  <c r="K34" i="35"/>
  <c r="K37" i="35" s="1"/>
  <c r="K39" i="35"/>
  <c r="K40" i="35"/>
  <c r="K41" i="35"/>
  <c r="K43" i="35"/>
  <c r="B7" i="35"/>
  <c r="B8" i="35" s="1"/>
  <c r="X21" i="35" s="1"/>
  <c r="Y75" i="35"/>
  <c r="Q75" i="35"/>
  <c r="F75" i="35"/>
  <c r="N71" i="35"/>
  <c r="AC75" i="35"/>
  <c r="X75" i="35"/>
  <c r="P75" i="35"/>
  <c r="J75" i="35"/>
  <c r="E75" i="35"/>
  <c r="AC71" i="35"/>
  <c r="U71" i="35"/>
  <c r="M71" i="35"/>
  <c r="C71" i="35"/>
  <c r="G71" i="35"/>
  <c r="K71" i="35"/>
  <c r="O71" i="35"/>
  <c r="S71" i="35"/>
  <c r="W71" i="35"/>
  <c r="AA71" i="35"/>
  <c r="C75" i="35"/>
  <c r="G75" i="35"/>
  <c r="K75" i="35"/>
  <c r="O75" i="35"/>
  <c r="AA75" i="35"/>
  <c r="D71" i="35"/>
  <c r="H71" i="35"/>
  <c r="L71" i="35"/>
  <c r="P71" i="35"/>
  <c r="T71" i="35"/>
  <c r="X71" i="35"/>
  <c r="AB71" i="35"/>
  <c r="L75" i="35"/>
  <c r="V71" i="35"/>
  <c r="F71" i="35"/>
  <c r="N75" i="35"/>
  <c r="I75" i="35"/>
  <c r="R71" i="35"/>
  <c r="D23" i="35"/>
  <c r="H23" i="35"/>
  <c r="L23" i="35"/>
  <c r="P23" i="35"/>
  <c r="T23" i="35"/>
  <c r="X23" i="35"/>
  <c r="AB23" i="35"/>
  <c r="E23" i="35"/>
  <c r="I23" i="35"/>
  <c r="M23" i="35"/>
  <c r="Q23" i="35"/>
  <c r="U23" i="35"/>
  <c r="Y23" i="35"/>
  <c r="AC23" i="35"/>
  <c r="B23" i="35"/>
  <c r="F23" i="35"/>
  <c r="J23" i="35"/>
  <c r="N23" i="35"/>
  <c r="R23" i="35"/>
  <c r="V23" i="35"/>
  <c r="Z23" i="35"/>
  <c r="C23" i="35"/>
  <c r="G23" i="35"/>
  <c r="K23" i="35"/>
  <c r="O23" i="35"/>
  <c r="S23" i="35"/>
  <c r="W23" i="35"/>
  <c r="AA23" i="35"/>
  <c r="AB75" i="35"/>
  <c r="D75" i="35"/>
  <c r="Z71" i="35"/>
  <c r="J71" i="35"/>
  <c r="B71" i="35"/>
  <c r="B78" i="35"/>
  <c r="Z75" i="35"/>
  <c r="M75" i="35"/>
  <c r="H75" i="35"/>
  <c r="B75" i="35"/>
  <c r="Y71" i="35"/>
  <c r="Q71" i="35"/>
  <c r="I71" i="35"/>
  <c r="B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C58" i="29"/>
  <c r="V24" i="35" l="1"/>
  <c r="M24" i="35"/>
  <c r="W24" i="35"/>
  <c r="P24" i="35"/>
  <c r="X24" i="35"/>
  <c r="Q24" i="35"/>
  <c r="U24" i="35"/>
  <c r="J24" i="35"/>
  <c r="R24" i="35"/>
  <c r="T24" i="35"/>
  <c r="S24" i="35"/>
  <c r="L24" i="35"/>
  <c r="L25" i="35" s="1"/>
  <c r="L21" i="35"/>
  <c r="H21" i="35"/>
  <c r="T21" i="35"/>
  <c r="T22" i="35" s="1"/>
  <c r="R21" i="35"/>
  <c r="R22" i="35" s="1"/>
  <c r="V21" i="35"/>
  <c r="V22" i="35" s="1"/>
  <c r="AB21" i="35"/>
  <c r="N21" i="35"/>
  <c r="N22" i="35" s="1"/>
  <c r="N26" i="35" s="1"/>
  <c r="Z21" i="35"/>
  <c r="Z22" i="35" s="1"/>
  <c r="Z26" i="35" s="1"/>
  <c r="D21" i="35"/>
  <c r="D22" i="35" s="1"/>
  <c r="D26" i="35" s="1"/>
  <c r="G21" i="35"/>
  <c r="G22" i="35" s="1"/>
  <c r="G26" i="35" s="1"/>
  <c r="I21" i="35"/>
  <c r="I22" i="35" s="1"/>
  <c r="I26" i="35" s="1"/>
  <c r="K21" i="35"/>
  <c r="K22" i="35" s="1"/>
  <c r="K26" i="35" s="1"/>
  <c r="M21" i="35"/>
  <c r="M22" i="35" s="1"/>
  <c r="O21" i="35"/>
  <c r="O22" i="35" s="1"/>
  <c r="O26" i="35" s="1"/>
  <c r="Q21" i="35"/>
  <c r="Q22" i="35" s="1"/>
  <c r="S21" i="35"/>
  <c r="S22" i="35" s="1"/>
  <c r="U21" i="35"/>
  <c r="U22" i="35" s="1"/>
  <c r="W21" i="35"/>
  <c r="W22" i="35" s="1"/>
  <c r="Y21" i="35"/>
  <c r="Y22" i="35" s="1"/>
  <c r="Y26" i="35" s="1"/>
  <c r="AA21" i="35"/>
  <c r="AA22" i="35" s="1"/>
  <c r="AA26" i="35" s="1"/>
  <c r="C21" i="35"/>
  <c r="C22" i="35" s="1"/>
  <c r="C26" i="35" s="1"/>
  <c r="E21" i="35"/>
  <c r="E22" i="35" s="1"/>
  <c r="E26" i="35" s="1"/>
  <c r="AC21" i="35"/>
  <c r="AC22" i="35" s="1"/>
  <c r="AC26" i="35" s="1"/>
  <c r="B21" i="35"/>
  <c r="B22" i="35" s="1"/>
  <c r="B26" i="35" s="1"/>
  <c r="F21" i="35"/>
  <c r="F22" i="35" s="1"/>
  <c r="F26" i="35" s="1"/>
  <c r="P21" i="35"/>
  <c r="P22" i="35" s="1"/>
  <c r="J21" i="35"/>
  <c r="AB22" i="35"/>
  <c r="AB26" i="35" s="1"/>
  <c r="AB25" i="35"/>
  <c r="L22" i="35"/>
  <c r="L26" i="35" s="1"/>
  <c r="T25" i="35"/>
  <c r="T27" i="35" s="1"/>
  <c r="H22" i="35"/>
  <c r="H26" i="35" s="1"/>
  <c r="H25" i="35"/>
  <c r="X22" i="35"/>
  <c r="X25" i="35"/>
  <c r="X27" i="35" s="1"/>
  <c r="C72" i="35"/>
  <c r="G72" i="35"/>
  <c r="K72" i="35"/>
  <c r="O72" i="35"/>
  <c r="S72" i="35"/>
  <c r="W72" i="35"/>
  <c r="AA72" i="35"/>
  <c r="C74" i="35"/>
  <c r="C18" i="35" s="1"/>
  <c r="G74" i="35"/>
  <c r="G18" i="35" s="1"/>
  <c r="K74" i="35"/>
  <c r="K18" i="35" s="1"/>
  <c r="O74" i="35"/>
  <c r="AA74" i="35"/>
  <c r="D72" i="35"/>
  <c r="H72" i="35"/>
  <c r="L72" i="35"/>
  <c r="E72" i="35"/>
  <c r="M72" i="35"/>
  <c r="R72" i="35"/>
  <c r="X72" i="35"/>
  <c r="AC72" i="35"/>
  <c r="F74" i="35"/>
  <c r="F18" i="35" s="1"/>
  <c r="L74" i="35"/>
  <c r="Q74" i="35"/>
  <c r="Y74" i="35"/>
  <c r="N72" i="35"/>
  <c r="Y72" i="35"/>
  <c r="H74" i="35"/>
  <c r="H18" i="35" s="1"/>
  <c r="F72" i="35"/>
  <c r="T72" i="35"/>
  <c r="B74" i="35"/>
  <c r="B18" i="35" s="1"/>
  <c r="M74" i="35"/>
  <c r="Z74" i="35"/>
  <c r="J72" i="35"/>
  <c r="V72" i="35"/>
  <c r="E74" i="35"/>
  <c r="E18" i="35" s="1"/>
  <c r="P74" i="35"/>
  <c r="AC74" i="35"/>
  <c r="AC18" i="35" s="1"/>
  <c r="I72" i="35"/>
  <c r="P72" i="35"/>
  <c r="U72" i="35"/>
  <c r="Z72" i="35"/>
  <c r="D74" i="35"/>
  <c r="D18" i="35" s="1"/>
  <c r="I74" i="35"/>
  <c r="I18" i="35" s="1"/>
  <c r="N74" i="35"/>
  <c r="AB74" i="35"/>
  <c r="B72" i="35"/>
  <c r="Q72" i="35"/>
  <c r="AB72" i="35"/>
  <c r="J74" i="35"/>
  <c r="J18" i="35" s="1"/>
  <c r="X74" i="35"/>
  <c r="B16" i="34"/>
  <c r="J25" i="35" l="1"/>
  <c r="J27" i="35" s="1"/>
  <c r="R25" i="35"/>
  <c r="R27" i="35" s="1"/>
  <c r="Z25" i="35"/>
  <c r="Z27" i="35" s="1"/>
  <c r="V25" i="35"/>
  <c r="V27" i="35" s="1"/>
  <c r="N25" i="35"/>
  <c r="N27" i="35" s="1"/>
  <c r="B25" i="35"/>
  <c r="B27" i="35" s="1"/>
  <c r="AB27" i="35"/>
  <c r="B28" i="35" s="1"/>
  <c r="AA25" i="35"/>
  <c r="AA27" i="35" s="1"/>
  <c r="J22" i="35"/>
  <c r="M25" i="35"/>
  <c r="M27" i="35" s="1"/>
  <c r="P25" i="35"/>
  <c r="P27" i="35" s="1"/>
  <c r="I25" i="35"/>
  <c r="I27" i="35" s="1"/>
  <c r="W25" i="35"/>
  <c r="W27" i="35" s="1"/>
  <c r="X28" i="35" s="1"/>
  <c r="Q25" i="35"/>
  <c r="Q27" i="35" s="1"/>
  <c r="R28" i="35" s="1"/>
  <c r="H27" i="35"/>
  <c r="J28" i="35" s="1"/>
  <c r="C25" i="35"/>
  <c r="C27" i="35" s="1"/>
  <c r="L27" i="35"/>
  <c r="K25" i="35"/>
  <c r="K27" i="35" s="1"/>
  <c r="G25" i="35"/>
  <c r="G27" i="35" s="1"/>
  <c r="U25" i="35"/>
  <c r="U27" i="35" s="1"/>
  <c r="S25" i="35"/>
  <c r="S27" i="35" s="1"/>
  <c r="AC25" i="35"/>
  <c r="AC27" i="35" s="1"/>
  <c r="D25" i="35"/>
  <c r="D27" i="35" s="1"/>
  <c r="F25" i="35"/>
  <c r="F27" i="35" s="1"/>
  <c r="E25" i="35"/>
  <c r="E27" i="35" s="1"/>
  <c r="Y25" i="35"/>
  <c r="Y27" i="35" s="1"/>
  <c r="O25" i="35"/>
  <c r="O27" i="35" s="1"/>
  <c r="AC33" i="29"/>
  <c r="AB33" i="29"/>
  <c r="AA33" i="29"/>
  <c r="Z33" i="29"/>
  <c r="Y33" i="29"/>
  <c r="X33" i="29"/>
  <c r="W33" i="29"/>
  <c r="V33" i="29"/>
  <c r="U33" i="29"/>
  <c r="T33" i="29"/>
  <c r="S33" i="29"/>
  <c r="R33" i="29"/>
  <c r="Q33" i="29"/>
  <c r="P33" i="29"/>
  <c r="O33" i="29"/>
  <c r="N33" i="29"/>
  <c r="M33" i="29"/>
  <c r="L33" i="29"/>
  <c r="K33" i="29"/>
  <c r="J33" i="29"/>
  <c r="I33" i="29"/>
  <c r="H33" i="29"/>
  <c r="G33" i="29"/>
  <c r="F33" i="29"/>
  <c r="E33" i="29"/>
  <c r="D33" i="29"/>
  <c r="C33" i="29"/>
  <c r="B33" i="29"/>
  <c r="N28" i="35" l="1"/>
  <c r="C28" i="35"/>
  <c r="AB28" i="35"/>
  <c r="M28" i="35"/>
  <c r="I28" i="35"/>
  <c r="P28" i="35"/>
  <c r="Y28" i="35"/>
  <c r="W28" i="35"/>
  <c r="L28" i="35"/>
  <c r="K28" i="35"/>
  <c r="D28" i="35"/>
  <c r="U28" i="35"/>
  <c r="AA28" i="35"/>
  <c r="O28" i="35"/>
  <c r="Q28" i="35"/>
  <c r="E28" i="35"/>
  <c r="V28" i="35"/>
  <c r="T28" i="35"/>
  <c r="S28" i="35"/>
  <c r="Z28" i="35"/>
  <c r="H28" i="35"/>
  <c r="F28" i="35"/>
  <c r="G28" i="35"/>
  <c r="D4" i="9"/>
  <c r="E4" i="9" s="1"/>
  <c r="A4" i="9"/>
  <c r="R75" i="29"/>
  <c r="S75" i="29"/>
  <c r="T75" i="29"/>
  <c r="U75" i="29"/>
  <c r="V75" i="29"/>
  <c r="W75" i="29"/>
  <c r="D6" i="9" l="1"/>
  <c r="E6" i="9" s="1"/>
  <c r="A6" i="9"/>
  <c r="AC53" i="29" l="1"/>
  <c r="AB53" i="29"/>
  <c r="AA53" i="29"/>
  <c r="Z53" i="29"/>
  <c r="Y53" i="29"/>
  <c r="X53" i="29"/>
  <c r="W53" i="29"/>
  <c r="V53" i="29"/>
  <c r="U53" i="29"/>
  <c r="T53" i="29"/>
  <c r="S53" i="29"/>
  <c r="R53" i="29"/>
  <c r="Q53" i="29"/>
  <c r="P53" i="29"/>
  <c r="O53" i="29"/>
  <c r="N53" i="29"/>
  <c r="M53" i="29"/>
  <c r="L53" i="29"/>
  <c r="K53" i="29"/>
  <c r="J53" i="29"/>
  <c r="I53" i="29"/>
  <c r="H53" i="29"/>
  <c r="G53" i="29"/>
  <c r="F53" i="29"/>
  <c r="E53" i="29"/>
  <c r="D53" i="29"/>
  <c r="C53" i="29"/>
  <c r="B53" i="29"/>
  <c r="B24" i="29" l="1"/>
  <c r="C24" i="29"/>
  <c r="D24" i="29"/>
  <c r="E24" i="29"/>
  <c r="F24" i="29"/>
  <c r="G24" i="29"/>
  <c r="H24" i="29"/>
  <c r="I24" i="29"/>
  <c r="N24" i="29"/>
  <c r="O24" i="29"/>
  <c r="Y24" i="29"/>
  <c r="Z24" i="29"/>
  <c r="AA24" i="29"/>
  <c r="AB24" i="29"/>
  <c r="AC24"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B61" i="29"/>
  <c r="A61" i="29"/>
  <c r="A113" i="29" l="1"/>
  <c r="A103" i="29"/>
  <c r="A112" i="29"/>
  <c r="AC51" i="29" l="1"/>
  <c r="AC52" i="29"/>
  <c r="AC54" i="29"/>
  <c r="AC55" i="29"/>
  <c r="AC56" i="29"/>
  <c r="AC57" i="29"/>
  <c r="W74" i="29" l="1"/>
  <c r="V74" i="29"/>
  <c r="U74" i="29"/>
  <c r="T74" i="29"/>
  <c r="S74" i="29"/>
  <c r="R74" i="29"/>
  <c r="B4" i="29" l="1"/>
  <c r="B10" i="29" s="1"/>
  <c r="L24" i="29" s="1"/>
  <c r="R24" i="29" l="1"/>
  <c r="V24" i="29"/>
  <c r="J24" i="29"/>
  <c r="M24" i="29"/>
  <c r="U24" i="29"/>
  <c r="K24" i="29"/>
  <c r="S24" i="29"/>
  <c r="W24" i="29"/>
  <c r="P24" i="29"/>
  <c r="T24" i="29"/>
  <c r="X24" i="29"/>
  <c r="Q24" i="29"/>
  <c r="J30" i="29"/>
  <c r="K30" i="29"/>
  <c r="M30" i="29"/>
  <c r="P30" i="29"/>
  <c r="Q30" i="29"/>
  <c r="R30" i="29"/>
  <c r="S30" i="29"/>
  <c r="T30" i="29"/>
  <c r="U30" i="29"/>
  <c r="V30" i="29"/>
  <c r="W30" i="29"/>
  <c r="X30" i="29"/>
  <c r="AB60" i="29" l="1"/>
  <c r="AA60" i="29"/>
  <c r="Z60" i="29"/>
  <c r="Y60" i="29"/>
  <c r="X60" i="29"/>
  <c r="W60" i="29"/>
  <c r="V60" i="29"/>
  <c r="U60" i="29"/>
  <c r="T60" i="29"/>
  <c r="S60" i="29"/>
  <c r="R60" i="29"/>
  <c r="Q60" i="29"/>
  <c r="P60" i="29"/>
  <c r="O60" i="29"/>
  <c r="N60" i="29"/>
  <c r="M60" i="29"/>
  <c r="L60" i="29"/>
  <c r="K60" i="29"/>
  <c r="J60" i="29"/>
  <c r="I60" i="29"/>
  <c r="H60" i="29"/>
  <c r="G60" i="29"/>
  <c r="F60" i="29"/>
  <c r="E60" i="29"/>
  <c r="D60" i="29"/>
  <c r="C60" i="29"/>
  <c r="B60" i="29"/>
  <c r="AB59" i="29"/>
  <c r="AA59" i="29"/>
  <c r="Z59" i="29"/>
  <c r="Y59" i="29"/>
  <c r="X59" i="29"/>
  <c r="W59" i="29"/>
  <c r="V59" i="29"/>
  <c r="U59" i="29"/>
  <c r="T59" i="29"/>
  <c r="S59" i="29"/>
  <c r="R59" i="29"/>
  <c r="Q59" i="29"/>
  <c r="P59" i="29"/>
  <c r="O59" i="29"/>
  <c r="N59" i="29"/>
  <c r="M59" i="29"/>
  <c r="L59" i="29"/>
  <c r="K59" i="29"/>
  <c r="J59" i="29"/>
  <c r="I59" i="29"/>
  <c r="H59" i="29"/>
  <c r="G59" i="29"/>
  <c r="F59" i="29"/>
  <c r="E59" i="29"/>
  <c r="D59" i="29"/>
  <c r="C59" i="29"/>
  <c r="B59" i="29"/>
  <c r="AB57" i="29"/>
  <c r="AA57" i="29"/>
  <c r="Z57" i="29"/>
  <c r="Y57" i="29"/>
  <c r="X57" i="29"/>
  <c r="W57" i="29"/>
  <c r="V57" i="29"/>
  <c r="U57" i="29"/>
  <c r="T57" i="29"/>
  <c r="S57" i="29"/>
  <c r="R57" i="29"/>
  <c r="Q57" i="29"/>
  <c r="P57" i="29"/>
  <c r="O57" i="29"/>
  <c r="N57" i="29"/>
  <c r="M57" i="29"/>
  <c r="L57" i="29"/>
  <c r="K57" i="29"/>
  <c r="J57" i="29"/>
  <c r="I57" i="29"/>
  <c r="H57" i="29"/>
  <c r="G57" i="29"/>
  <c r="F57" i="29"/>
  <c r="E57" i="29"/>
  <c r="D57" i="29"/>
  <c r="C57" i="29"/>
  <c r="B57" i="29"/>
  <c r="AB56" i="29"/>
  <c r="AA56" i="29"/>
  <c r="Z56" i="29"/>
  <c r="Y56" i="29"/>
  <c r="X56" i="29"/>
  <c r="W56" i="29"/>
  <c r="V56" i="29"/>
  <c r="U56" i="29"/>
  <c r="T56" i="29"/>
  <c r="S56" i="29"/>
  <c r="R56" i="29"/>
  <c r="Q56" i="29"/>
  <c r="P56" i="29"/>
  <c r="O56" i="29"/>
  <c r="N56" i="29"/>
  <c r="M56" i="29"/>
  <c r="L56" i="29"/>
  <c r="K56" i="29"/>
  <c r="J56" i="29"/>
  <c r="I56" i="29"/>
  <c r="H56" i="29"/>
  <c r="G56" i="29"/>
  <c r="F56" i="29"/>
  <c r="E56" i="29"/>
  <c r="D56" i="29"/>
  <c r="C56" i="29"/>
  <c r="B56"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B55" i="29"/>
  <c r="AB54" i="29"/>
  <c r="AA54" i="29"/>
  <c r="Z54" i="29"/>
  <c r="Y54" i="29"/>
  <c r="X54" i="29"/>
  <c r="W54" i="29"/>
  <c r="V54" i="29"/>
  <c r="U54" i="29"/>
  <c r="T54" i="29"/>
  <c r="S54" i="29"/>
  <c r="R54" i="29"/>
  <c r="Q54" i="29"/>
  <c r="P54" i="29"/>
  <c r="O54" i="29"/>
  <c r="N54" i="29"/>
  <c r="M54" i="29"/>
  <c r="L54" i="29"/>
  <c r="K54" i="29"/>
  <c r="J54" i="29"/>
  <c r="I54" i="29"/>
  <c r="H54" i="29"/>
  <c r="G54" i="29"/>
  <c r="F54" i="29"/>
  <c r="E54" i="29"/>
  <c r="D54" i="29"/>
  <c r="C54" i="29"/>
  <c r="B54" i="29"/>
  <c r="AB52" i="29"/>
  <c r="AA52" i="29"/>
  <c r="Z52" i="29"/>
  <c r="Y52" i="29"/>
  <c r="X52" i="29"/>
  <c r="W52" i="29"/>
  <c r="V52" i="29"/>
  <c r="U52" i="29"/>
  <c r="T52" i="29"/>
  <c r="S52" i="29"/>
  <c r="R52" i="29"/>
  <c r="Q52" i="29"/>
  <c r="P52" i="29"/>
  <c r="O52" i="29"/>
  <c r="N52" i="29"/>
  <c r="M52" i="29"/>
  <c r="L52" i="29"/>
  <c r="K52" i="29"/>
  <c r="J52" i="29"/>
  <c r="I52" i="29"/>
  <c r="H52" i="29"/>
  <c r="G52" i="29"/>
  <c r="F52" i="29"/>
  <c r="E52" i="29"/>
  <c r="D52" i="29"/>
  <c r="C52" i="29"/>
  <c r="B52" i="29"/>
  <c r="E2" i="9" l="1"/>
  <c r="A2" i="9"/>
  <c r="B77" i="29" l="1" a="1"/>
  <c r="B77" i="29" s="1"/>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B51" i="29"/>
  <c r="W35" i="29"/>
  <c r="V35" i="29"/>
  <c r="U35" i="29"/>
  <c r="T35" i="29"/>
  <c r="S35" i="29"/>
  <c r="R35" i="29"/>
  <c r="Q35" i="29"/>
  <c r="X26" i="29"/>
  <c r="W26" i="29"/>
  <c r="V26" i="29"/>
  <c r="U26" i="29"/>
  <c r="T26" i="29"/>
  <c r="S26" i="29"/>
  <c r="R26" i="29"/>
  <c r="Q26" i="29"/>
  <c r="P26" i="29"/>
  <c r="M26" i="29"/>
  <c r="J26" i="29"/>
  <c r="AB18" i="29"/>
  <c r="AA18" i="29"/>
  <c r="Z18" i="29"/>
  <c r="Y18" i="29"/>
  <c r="X18" i="29"/>
  <c r="W18" i="29"/>
  <c r="V18" i="29"/>
  <c r="U18" i="29"/>
  <c r="T18" i="29"/>
  <c r="S18" i="29"/>
  <c r="R18" i="29"/>
  <c r="Q18" i="29"/>
  <c r="P18" i="29"/>
  <c r="O18" i="29"/>
  <c r="N18" i="29"/>
  <c r="M18" i="29"/>
  <c r="C75" i="29" l="1"/>
  <c r="G75" i="29"/>
  <c r="K75" i="29"/>
  <c r="O75" i="29"/>
  <c r="AA75" i="29"/>
  <c r="J75" i="29"/>
  <c r="D75" i="29"/>
  <c r="H75" i="29"/>
  <c r="L75" i="29"/>
  <c r="P75" i="29"/>
  <c r="X75" i="29"/>
  <c r="AB75" i="29"/>
  <c r="N75" i="29"/>
  <c r="AC75" i="29"/>
  <c r="E75" i="29"/>
  <c r="I75" i="29"/>
  <c r="M75" i="29"/>
  <c r="Q75" i="29"/>
  <c r="Y75" i="29"/>
  <c r="B75" i="29"/>
  <c r="F75" i="29"/>
  <c r="Z75" i="29"/>
  <c r="AC71" i="29"/>
  <c r="AB71" i="29"/>
  <c r="Z71" i="29"/>
  <c r="X71" i="29"/>
  <c r="V71" i="29"/>
  <c r="T71" i="29"/>
  <c r="R71" i="29"/>
  <c r="P71" i="29"/>
  <c r="N71" i="29"/>
  <c r="L71" i="29"/>
  <c r="J71" i="29"/>
  <c r="H71" i="29"/>
  <c r="F71" i="29"/>
  <c r="D71" i="29"/>
  <c r="B71" i="29"/>
  <c r="AA71" i="29"/>
  <c r="Y71" i="29"/>
  <c r="W71" i="29"/>
  <c r="U71" i="29"/>
  <c r="S71" i="29"/>
  <c r="Q71" i="29"/>
  <c r="O71" i="29"/>
  <c r="M71" i="29"/>
  <c r="K71" i="29"/>
  <c r="I71" i="29"/>
  <c r="G71" i="29"/>
  <c r="E71" i="29"/>
  <c r="C71" i="29"/>
  <c r="AC30" i="29"/>
  <c r="B7" i="29"/>
  <c r="B9" i="29"/>
  <c r="AB23" i="29" s="1"/>
  <c r="B78" i="29"/>
  <c r="AC74" i="29" s="1"/>
  <c r="AC35" i="29" l="1"/>
  <c r="AC36" i="29"/>
  <c r="O23" i="29"/>
  <c r="AC23" i="29"/>
  <c r="AC72" i="29"/>
  <c r="AC18" i="29"/>
  <c r="P23" i="29"/>
  <c r="AA23" i="29"/>
  <c r="X23" i="29"/>
  <c r="H23" i="29"/>
  <c r="G23" i="29"/>
  <c r="W23" i="29"/>
  <c r="T23" i="29"/>
  <c r="L23" i="29"/>
  <c r="D23" i="29"/>
  <c r="C23" i="29"/>
  <c r="K23" i="29"/>
  <c r="S23" i="29"/>
  <c r="AB74" i="29"/>
  <c r="Z74" i="29"/>
  <c r="X74" i="29"/>
  <c r="P74" i="29"/>
  <c r="N74" i="29"/>
  <c r="L74" i="29"/>
  <c r="J74" i="29"/>
  <c r="J18" i="29" s="1"/>
  <c r="H74" i="29"/>
  <c r="H18" i="29" s="1"/>
  <c r="F74" i="29"/>
  <c r="F18" i="29" s="1"/>
  <c r="D74" i="29"/>
  <c r="D18" i="29" s="1"/>
  <c r="B74" i="29"/>
  <c r="B18" i="29" s="1"/>
  <c r="AA72" i="29"/>
  <c r="Y72" i="29"/>
  <c r="W72" i="29"/>
  <c r="U72" i="29"/>
  <c r="S72" i="29"/>
  <c r="Q72" i="29"/>
  <c r="O72" i="29"/>
  <c r="M72" i="29"/>
  <c r="K72" i="29"/>
  <c r="I72" i="29"/>
  <c r="G72" i="29"/>
  <c r="E72" i="29"/>
  <c r="C72" i="29"/>
  <c r="AA74" i="29"/>
  <c r="Y74" i="29"/>
  <c r="Q74" i="29"/>
  <c r="O74" i="29"/>
  <c r="M74" i="29"/>
  <c r="K74" i="29"/>
  <c r="K18" i="29" s="1"/>
  <c r="I74" i="29"/>
  <c r="I18" i="29" s="1"/>
  <c r="G74" i="29"/>
  <c r="G18" i="29" s="1"/>
  <c r="E74" i="29"/>
  <c r="E18" i="29" s="1"/>
  <c r="C74" i="29"/>
  <c r="C18" i="29" s="1"/>
  <c r="AB72" i="29"/>
  <c r="Z72" i="29"/>
  <c r="X72" i="29"/>
  <c r="V72" i="29"/>
  <c r="T72" i="29"/>
  <c r="R72" i="29"/>
  <c r="P72" i="29"/>
  <c r="N72" i="29"/>
  <c r="L72" i="29"/>
  <c r="J72" i="29"/>
  <c r="H72" i="29"/>
  <c r="F72" i="29"/>
  <c r="D72" i="29"/>
  <c r="B72" i="29"/>
  <c r="B8" i="29"/>
  <c r="D30" i="29"/>
  <c r="F30" i="29"/>
  <c r="H30" i="29"/>
  <c r="L30" i="29"/>
  <c r="N30" i="29"/>
  <c r="Z30" i="29"/>
  <c r="AB30" i="29"/>
  <c r="B30" i="29"/>
  <c r="C30" i="29"/>
  <c r="E30" i="29"/>
  <c r="G30" i="29"/>
  <c r="I30" i="29"/>
  <c r="O30" i="29"/>
  <c r="Y30" i="29"/>
  <c r="AA30" i="29"/>
  <c r="E23" i="29"/>
  <c r="I23" i="29"/>
  <c r="M23" i="29"/>
  <c r="Q23" i="29"/>
  <c r="U23" i="29"/>
  <c r="Y23" i="29"/>
  <c r="Z23" i="29"/>
  <c r="V23" i="29"/>
  <c r="N23" i="29"/>
  <c r="F23" i="29"/>
  <c r="R23" i="29"/>
  <c r="J23" i="29"/>
  <c r="B23" i="29"/>
  <c r="L18" i="29"/>
  <c r="AC46" i="29" l="1"/>
  <c r="AC43" i="29"/>
  <c r="AC40" i="29"/>
  <c r="AC44" i="29"/>
  <c r="AC41" i="29"/>
  <c r="AC39" i="29"/>
  <c r="AC34" i="29"/>
  <c r="AC37" i="29" s="1"/>
  <c r="AC21" i="29"/>
  <c r="C21" i="29"/>
  <c r="E21" i="29"/>
  <c r="G21" i="29"/>
  <c r="I21" i="29"/>
  <c r="K21" i="29"/>
  <c r="M21" i="29"/>
  <c r="O21" i="29"/>
  <c r="Q21" i="29"/>
  <c r="S21" i="29"/>
  <c r="U21" i="29"/>
  <c r="W21" i="29"/>
  <c r="Y21" i="29"/>
  <c r="AA21" i="29"/>
  <c r="D21" i="29"/>
  <c r="F21" i="29"/>
  <c r="H21" i="29"/>
  <c r="J21" i="29"/>
  <c r="L21" i="29"/>
  <c r="N21" i="29"/>
  <c r="P21" i="29"/>
  <c r="R21" i="29"/>
  <c r="T21" i="29"/>
  <c r="V21" i="29"/>
  <c r="X21" i="29"/>
  <c r="Z21" i="29"/>
  <c r="AB21" i="29"/>
  <c r="B21" i="29"/>
  <c r="AC25" i="29" l="1"/>
  <c r="AC22" i="29"/>
  <c r="AC26" i="29" s="1"/>
  <c r="AB25" i="29"/>
  <c r="AB22" i="29"/>
  <c r="AB26" i="29" s="1"/>
  <c r="X25" i="29"/>
  <c r="X27" i="29" s="1"/>
  <c r="X22" i="29"/>
  <c r="T25" i="29"/>
  <c r="T27" i="29" s="1"/>
  <c r="T22" i="29"/>
  <c r="P25" i="29"/>
  <c r="P27" i="29" s="1"/>
  <c r="P22" i="29"/>
  <c r="L25" i="29"/>
  <c r="L22" i="29"/>
  <c r="L26" i="29" s="1"/>
  <c r="H25" i="29"/>
  <c r="H22" i="29"/>
  <c r="H26" i="29" s="1"/>
  <c r="D25" i="29"/>
  <c r="D22" i="29"/>
  <c r="D26" i="29" s="1"/>
  <c r="AA25" i="29"/>
  <c r="AA22" i="29"/>
  <c r="AA26" i="29" s="1"/>
  <c r="W25" i="29"/>
  <c r="W27" i="29" s="1"/>
  <c r="W22" i="29"/>
  <c r="S25" i="29"/>
  <c r="S27" i="29" s="1"/>
  <c r="S22" i="29"/>
  <c r="O25" i="29"/>
  <c r="O22" i="29"/>
  <c r="O26" i="29" s="1"/>
  <c r="K25" i="29"/>
  <c r="K22" i="29"/>
  <c r="K26" i="29" s="1"/>
  <c r="G25" i="29"/>
  <c r="G22" i="29"/>
  <c r="G26" i="29" s="1"/>
  <c r="C25" i="29"/>
  <c r="C22" i="29"/>
  <c r="C26" i="29" s="1"/>
  <c r="B22" i="29"/>
  <c r="B25" i="29"/>
  <c r="Z25" i="29"/>
  <c r="Z22" i="29"/>
  <c r="Z26" i="29" s="1"/>
  <c r="V25" i="29"/>
  <c r="V27" i="29" s="1"/>
  <c r="V22" i="29"/>
  <c r="R25" i="29"/>
  <c r="R27" i="29" s="1"/>
  <c r="R22" i="29"/>
  <c r="N25" i="29"/>
  <c r="N22" i="29"/>
  <c r="N26" i="29" s="1"/>
  <c r="J25" i="29"/>
  <c r="J27" i="29" s="1"/>
  <c r="J22" i="29"/>
  <c r="F25" i="29"/>
  <c r="F22" i="29"/>
  <c r="F26" i="29" s="1"/>
  <c r="Y25" i="29"/>
  <c r="Y22" i="29"/>
  <c r="Y26" i="29" s="1"/>
  <c r="U25" i="29"/>
  <c r="U27" i="29" s="1"/>
  <c r="U22" i="29"/>
  <c r="Q25" i="29"/>
  <c r="Q27" i="29" s="1"/>
  <c r="Q22" i="29"/>
  <c r="M25" i="29"/>
  <c r="M27" i="29" s="1"/>
  <c r="M22" i="29"/>
  <c r="I25" i="29"/>
  <c r="I22" i="29"/>
  <c r="I26" i="29" s="1"/>
  <c r="E25" i="29"/>
  <c r="E22" i="29"/>
  <c r="E26" i="29" s="1"/>
  <c r="W36" i="29"/>
  <c r="T36" i="29"/>
  <c r="U36" i="29"/>
  <c r="AB36" i="29"/>
  <c r="AB35" i="29"/>
  <c r="V36" i="29"/>
  <c r="Q36" i="29"/>
  <c r="R36" i="29"/>
  <c r="S36" i="29"/>
  <c r="T46" i="29" l="1"/>
  <c r="T43" i="29"/>
  <c r="T40" i="29"/>
  <c r="T44" i="29"/>
  <c r="T41" i="29"/>
  <c r="T39" i="29"/>
  <c r="Q44" i="29"/>
  <c r="Q41" i="29"/>
  <c r="Q39" i="29"/>
  <c r="Q46" i="29"/>
  <c r="Q43" i="29"/>
  <c r="Q40" i="29"/>
  <c r="V46" i="29"/>
  <c r="V43" i="29"/>
  <c r="V44" i="29"/>
  <c r="V41" i="29"/>
  <c r="V39" i="29"/>
  <c r="V40" i="29"/>
  <c r="R41" i="29"/>
  <c r="R39" i="29"/>
  <c r="R46" i="29"/>
  <c r="R43" i="29"/>
  <c r="R40" i="29"/>
  <c r="R44" i="29"/>
  <c r="AB46" i="29"/>
  <c r="AB43" i="29"/>
  <c r="AB40" i="29"/>
  <c r="AB41" i="29"/>
  <c r="AB39" i="29"/>
  <c r="AB44" i="29"/>
  <c r="S44" i="29"/>
  <c r="S41" i="29"/>
  <c r="S39" i="29"/>
  <c r="S46" i="29"/>
  <c r="S43" i="29"/>
  <c r="S40" i="29"/>
  <c r="U46" i="29"/>
  <c r="U43" i="29"/>
  <c r="U40" i="29"/>
  <c r="U44" i="29"/>
  <c r="U41" i="29"/>
  <c r="U39" i="29"/>
  <c r="W44" i="29"/>
  <c r="W41" i="29"/>
  <c r="W39" i="29"/>
  <c r="W46" i="29"/>
  <c r="W43" i="29"/>
  <c r="W40" i="29"/>
  <c r="R34" i="29"/>
  <c r="R37" i="29" s="1"/>
  <c r="V34" i="29"/>
  <c r="V37" i="29" s="1"/>
  <c r="T34" i="29"/>
  <c r="T37" i="29" s="1"/>
  <c r="U34" i="29"/>
  <c r="U37" i="29" s="1"/>
  <c r="AB34" i="29"/>
  <c r="AB37" i="29" s="1"/>
  <c r="Q34" i="29"/>
  <c r="Q37" i="29" s="1"/>
  <c r="W34" i="29"/>
  <c r="W37" i="29" s="1"/>
  <c r="S34" i="29"/>
  <c r="S37" i="29" s="1"/>
  <c r="K27" i="29"/>
  <c r="AC27" i="29"/>
  <c r="E27" i="29"/>
  <c r="I27" i="29"/>
  <c r="K28" i="29" s="1"/>
  <c r="Y27" i="29"/>
  <c r="Y28" i="29" s="1"/>
  <c r="F27" i="29"/>
  <c r="N27" i="29"/>
  <c r="C27" i="29"/>
  <c r="G27" i="29"/>
  <c r="O27" i="29"/>
  <c r="Q28" i="29" s="1"/>
  <c r="D27" i="29"/>
  <c r="H27" i="29"/>
  <c r="L27" i="29"/>
  <c r="S28" i="29"/>
  <c r="W28" i="29"/>
  <c r="T28" i="29"/>
  <c r="X28" i="29"/>
  <c r="B26" i="29"/>
  <c r="Z27" i="29"/>
  <c r="U28" i="29"/>
  <c r="AA27" i="29"/>
  <c r="R28" i="29"/>
  <c r="V28" i="29"/>
  <c r="AB27" i="29"/>
  <c r="K35" i="29"/>
  <c r="K36" i="29"/>
  <c r="X36" i="29"/>
  <c r="X35" i="29"/>
  <c r="AA36" i="29"/>
  <c r="AA35" i="29"/>
  <c r="D36" i="29"/>
  <c r="D35" i="29"/>
  <c r="G35" i="29"/>
  <c r="G36" i="29"/>
  <c r="B36" i="29"/>
  <c r="B35" i="29"/>
  <c r="P36" i="29"/>
  <c r="P35" i="29"/>
  <c r="M36" i="29"/>
  <c r="M35" i="29"/>
  <c r="C35" i="29"/>
  <c r="C36" i="29"/>
  <c r="Y36" i="29"/>
  <c r="Y35" i="29"/>
  <c r="L36" i="29"/>
  <c r="L35" i="29"/>
  <c r="O35" i="29"/>
  <c r="O36" i="29"/>
  <c r="E36" i="29"/>
  <c r="E35" i="29"/>
  <c r="H36" i="29"/>
  <c r="H35" i="29"/>
  <c r="I36" i="29"/>
  <c r="I35" i="29"/>
  <c r="N36" i="29"/>
  <c r="N35" i="29"/>
  <c r="J36" i="29"/>
  <c r="J35" i="29"/>
  <c r="Z36" i="29"/>
  <c r="Z35" i="29"/>
  <c r="F36" i="29"/>
  <c r="F35" i="29"/>
  <c r="D46" i="29" l="1"/>
  <c r="D43" i="29"/>
  <c r="D40" i="29"/>
  <c r="D44" i="29"/>
  <c r="D41" i="29"/>
  <c r="D39" i="29"/>
  <c r="M46" i="29"/>
  <c r="M43" i="29"/>
  <c r="M40" i="29"/>
  <c r="M44" i="29"/>
  <c r="M41" i="29"/>
  <c r="M39" i="29"/>
  <c r="L46" i="29"/>
  <c r="L43" i="29"/>
  <c r="L40" i="29"/>
  <c r="L44" i="29"/>
  <c r="L41" i="29"/>
  <c r="L39" i="29"/>
  <c r="AA46" i="29"/>
  <c r="AA43" i="29"/>
  <c r="AA40" i="29"/>
  <c r="AA44" i="29"/>
  <c r="AA41" i="29"/>
  <c r="AA39" i="29"/>
  <c r="N46" i="29"/>
  <c r="N43" i="29"/>
  <c r="N40" i="29"/>
  <c r="N44" i="29"/>
  <c r="N41" i="29"/>
  <c r="N39" i="29"/>
  <c r="F46" i="29"/>
  <c r="F43" i="29"/>
  <c r="F40" i="29"/>
  <c r="F44" i="29"/>
  <c r="F41" i="29"/>
  <c r="F39" i="29"/>
  <c r="P40" i="29"/>
  <c r="P44" i="29"/>
  <c r="P41" i="29"/>
  <c r="P39" i="29"/>
  <c r="P43" i="29"/>
  <c r="P46" i="29"/>
  <c r="Z44" i="29"/>
  <c r="Z46" i="29"/>
  <c r="Z43" i="29"/>
  <c r="Z40" i="29"/>
  <c r="Z41" i="29"/>
  <c r="Z39" i="29"/>
  <c r="H44" i="29"/>
  <c r="H41" i="29"/>
  <c r="H39" i="29"/>
  <c r="H46" i="29"/>
  <c r="H43" i="29"/>
  <c r="H40" i="29"/>
  <c r="Y44" i="29"/>
  <c r="Y41" i="29"/>
  <c r="Y39" i="29"/>
  <c r="Y46" i="29"/>
  <c r="Y43" i="29"/>
  <c r="Y40" i="29"/>
  <c r="B41" i="29"/>
  <c r="B39" i="29"/>
  <c r="B46" i="29"/>
  <c r="B43" i="29"/>
  <c r="B40" i="29"/>
  <c r="B44" i="29"/>
  <c r="X43" i="29"/>
  <c r="X44" i="29"/>
  <c r="X41" i="29"/>
  <c r="X39" i="29"/>
  <c r="X40" i="29"/>
  <c r="X46" i="29"/>
  <c r="O46" i="29"/>
  <c r="O43" i="29"/>
  <c r="O44" i="29"/>
  <c r="O41" i="29"/>
  <c r="O39" i="29"/>
  <c r="O40" i="29"/>
  <c r="G40" i="29"/>
  <c r="G44" i="29"/>
  <c r="G41" i="29"/>
  <c r="G39" i="29"/>
  <c r="G46" i="29"/>
  <c r="G43" i="29"/>
  <c r="K46" i="29"/>
  <c r="K43" i="29"/>
  <c r="K40" i="29"/>
  <c r="K39" i="29"/>
  <c r="K44" i="29"/>
  <c r="K41" i="29"/>
  <c r="I44" i="29"/>
  <c r="I41" i="29"/>
  <c r="I39" i="29"/>
  <c r="I46" i="29"/>
  <c r="I43" i="29"/>
  <c r="I40" i="29"/>
  <c r="C41" i="29"/>
  <c r="C46" i="29"/>
  <c r="C43" i="29"/>
  <c r="C40" i="29"/>
  <c r="C44" i="29"/>
  <c r="C39" i="29"/>
  <c r="J44" i="29"/>
  <c r="J46" i="29"/>
  <c r="J43" i="29"/>
  <c r="J40" i="29"/>
  <c r="J41" i="29"/>
  <c r="J39" i="29"/>
  <c r="E46" i="29"/>
  <c r="E43" i="29"/>
  <c r="E40" i="29"/>
  <c r="E44" i="29"/>
  <c r="E41" i="29"/>
  <c r="E39" i="29"/>
  <c r="B34" i="29"/>
  <c r="B37" i="29" s="1"/>
  <c r="E34" i="29"/>
  <c r="E37" i="29" s="1"/>
  <c r="P34" i="29"/>
  <c r="P37" i="29" s="1"/>
  <c r="N34" i="29"/>
  <c r="N37" i="29" s="1"/>
  <c r="I34" i="29"/>
  <c r="I37" i="29" s="1"/>
  <c r="L28" i="29"/>
  <c r="O34" i="29"/>
  <c r="O37" i="29" s="1"/>
  <c r="G34" i="29"/>
  <c r="G37" i="29" s="1"/>
  <c r="Z34" i="29"/>
  <c r="Z37" i="29" s="1"/>
  <c r="D34" i="29"/>
  <c r="D37" i="29" s="1"/>
  <c r="L34" i="29"/>
  <c r="L37" i="29" s="1"/>
  <c r="X34" i="29"/>
  <c r="X37" i="29" s="1"/>
  <c r="C34" i="29"/>
  <c r="C37" i="29" s="1"/>
  <c r="M34" i="29"/>
  <c r="M37" i="29" s="1"/>
  <c r="H34" i="29"/>
  <c r="H37" i="29" s="1"/>
  <c r="F34" i="29"/>
  <c r="F37" i="29" s="1"/>
  <c r="AA34" i="29"/>
  <c r="AA37" i="29" s="1"/>
  <c r="Y34" i="29"/>
  <c r="Y37" i="29" s="1"/>
  <c r="K34" i="29"/>
  <c r="K37" i="29" s="1"/>
  <c r="J34" i="29"/>
  <c r="J37" i="29" s="1"/>
  <c r="J28" i="29"/>
  <c r="F28" i="29"/>
  <c r="B27" i="29"/>
  <c r="C28" i="29" s="1"/>
  <c r="E28" i="29"/>
  <c r="H28" i="29"/>
  <c r="G28" i="29"/>
  <c r="M28" i="29"/>
  <c r="N28" i="29"/>
  <c r="P28" i="29"/>
  <c r="O28" i="29"/>
  <c r="I28" i="29"/>
  <c r="AA28" i="29"/>
  <c r="AB28" i="29"/>
  <c r="Z28" i="29"/>
  <c r="D28" i="29" l="1"/>
  <c r="B28"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Cochran, Mark D Jr CDR USN (USA)</author>
    <author>russell.w.scott</author>
    <author>michael.fleetwood</author>
    <author>Fleetwood, Michael T CTR  COMNAVAIRLANT, NC007</author>
  </authors>
  <commentList>
    <comment ref="H14" authorId="0" shapeId="0" xr:uid="{00000000-0006-0000-0200-000001000000}">
      <text>
        <r>
          <rPr>
            <b/>
            <sz val="9"/>
            <color indexed="81"/>
            <rFont val="Tahoma"/>
            <family val="2"/>
          </rPr>
          <t>ARP VIRTUAL</t>
        </r>
      </text>
    </comment>
    <comment ref="I14" authorId="0" shapeId="0" xr:uid="{00000000-0006-0000-0200-000002000000}">
      <text>
        <r>
          <rPr>
            <b/>
            <sz val="9"/>
            <color indexed="81"/>
            <rFont val="Tahoma"/>
            <family val="2"/>
          </rPr>
          <t>ARP LIVE</t>
        </r>
      </text>
    </comment>
    <comment ref="J14" authorId="0" shapeId="0" xr:uid="{00000000-0006-0000-0200-000003000000}">
      <text>
        <r>
          <rPr>
            <b/>
            <sz val="9"/>
            <color indexed="81"/>
            <rFont val="Tahoma"/>
            <family val="2"/>
          </rPr>
          <t>TSTA</t>
        </r>
      </text>
    </comment>
    <comment ref="K14" authorId="1" shapeId="0" xr:uid="{00000000-0006-0000-0200-000004000000}">
      <text>
        <r>
          <rPr>
            <b/>
            <sz val="10"/>
            <color indexed="81"/>
            <rFont val="Tahoma"/>
            <family val="2"/>
          </rPr>
          <t>AWF</t>
        </r>
      </text>
    </comment>
    <comment ref="M14" authorId="1" shapeId="0" xr:uid="{00000000-0006-0000-0200-000005000000}">
      <text>
        <r>
          <rPr>
            <b/>
            <sz val="10"/>
            <color indexed="81"/>
            <rFont val="Tahoma"/>
            <family val="2"/>
          </rPr>
          <t>C2X</t>
        </r>
      </text>
    </comment>
    <comment ref="A24" authorId="0" shapeId="0" xr:uid="{00000000-0006-0000-0200-000006000000}">
      <text>
        <r>
          <rPr>
            <sz val="9"/>
            <color indexed="81"/>
            <rFont val="Tahoma"/>
            <family val="2"/>
          </rPr>
          <t>Includes Afloat and Det reuqirements here</t>
        </r>
      </text>
    </comment>
    <comment ref="A26" authorId="0" shapeId="0" xr:uid="{00000000-0006-0000-0200-000007000000}">
      <text>
        <r>
          <rPr>
            <sz val="9"/>
            <color indexed="81"/>
            <rFont val="Tahoma"/>
            <family val="2"/>
          </rPr>
          <t>Limited by THD during Mx phase based on 3510.11C formula.  Designed to maximize flight hours vice optimize T&amp;R hours.  Recommend a change to 3510.11C, to chnage formula to 100% training hours*$ of T&amp;R Matrix*Sim Fidelity %.  Then add MESH to ensure R+28 meets CNAF directed THD requirements, since that is technically MESH, as it is iin addition to signed T&amp;R requirements.</t>
        </r>
      </text>
    </comment>
    <comment ref="A28" authorId="0" shapeId="0" xr:uid="{00000000-0006-0000-0200-000008000000}">
      <text>
        <r>
          <rPr>
            <sz val="9"/>
            <color indexed="81"/>
            <rFont val="Tahoma"/>
            <family val="2"/>
          </rPr>
          <t>sim hours count toward 90 day average in SHARP 7.0, regardless of what 3500.1A says.</t>
        </r>
      </text>
    </comment>
    <comment ref="A30" authorId="2" shapeId="0" xr:uid="{00000000-0006-0000-0200-000009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C48" authorId="2" shapeId="0" xr:uid="{00000000-0006-0000-0200-00000A000000}">
      <text>
        <r>
          <rPr>
            <b/>
            <sz val="8"/>
            <color indexed="81"/>
            <rFont val="Tahoma"/>
            <family val="2"/>
          </rPr>
          <t>michael.fleetwood:</t>
        </r>
        <r>
          <rPr>
            <sz val="8"/>
            <color indexed="81"/>
            <rFont val="Tahoma"/>
            <family val="2"/>
          </rPr>
          <t xml:space="preserve">
Accuracy?</t>
        </r>
      </text>
    </comment>
    <comment ref="B82" authorId="2" shapeId="0" xr:uid="{00000000-0006-0000-0200-00000B000000}">
      <text>
        <r>
          <rPr>
            <b/>
            <sz val="8"/>
            <color indexed="81"/>
            <rFont val="Tahoma"/>
            <family val="2"/>
          </rPr>
          <t>michael.fleetwood:</t>
        </r>
        <r>
          <rPr>
            <sz val="8"/>
            <color indexed="81"/>
            <rFont val="Tahoma"/>
            <family val="2"/>
          </rPr>
          <t xml:space="preserve">
Use T&amp;R to determine Line-Items and Quantities</t>
        </r>
      </text>
    </comment>
    <comment ref="E95" authorId="1" shapeId="0" xr:uid="{00000000-0006-0000-0200-00000C000000}">
      <text>
        <r>
          <rPr>
            <b/>
            <sz val="8"/>
            <color indexed="81"/>
            <rFont val="Tahoma"/>
            <family val="2"/>
          </rPr>
          <t>russell.w.scott:</t>
        </r>
        <r>
          <rPr>
            <sz val="8"/>
            <color indexed="81"/>
            <rFont val="Tahoma"/>
            <family val="2"/>
          </rPr>
          <t xml:space="preserve">
SFARP</t>
        </r>
      </text>
    </comment>
    <comment ref="J95" authorId="1" shapeId="0" xr:uid="{00000000-0006-0000-0200-00000D000000}">
      <text>
        <r>
          <rPr>
            <b/>
            <sz val="8"/>
            <color indexed="81"/>
            <rFont val="Tahoma"/>
            <family val="2"/>
          </rPr>
          <t>russell.w.scott:</t>
        </r>
        <r>
          <rPr>
            <sz val="8"/>
            <color indexed="81"/>
            <rFont val="Tahoma"/>
            <family val="2"/>
          </rPr>
          <t xml:space="preserve">
TSTA/FEP</t>
        </r>
      </text>
    </comment>
    <comment ref="K95" authorId="1" shapeId="0" xr:uid="{00000000-0006-0000-0200-00000E000000}">
      <text>
        <r>
          <rPr>
            <b/>
            <sz val="8"/>
            <color indexed="81"/>
            <rFont val="Tahoma"/>
            <family val="2"/>
          </rPr>
          <t>russell.w.scott:</t>
        </r>
        <r>
          <rPr>
            <sz val="8"/>
            <color indexed="81"/>
            <rFont val="Tahoma"/>
            <family val="2"/>
          </rPr>
          <t xml:space="preserve">
C2X/Fallon</t>
        </r>
      </text>
    </comment>
    <comment ref="L95" authorId="1" shapeId="0" xr:uid="{00000000-0006-0000-0200-00000F000000}">
      <text>
        <r>
          <rPr>
            <b/>
            <sz val="8"/>
            <color indexed="81"/>
            <rFont val="Tahoma"/>
            <family val="2"/>
          </rPr>
          <t>russell.w.scott:</t>
        </r>
        <r>
          <rPr>
            <sz val="8"/>
            <color indexed="81"/>
            <rFont val="Tahoma"/>
            <family val="2"/>
          </rPr>
          <t xml:space="preserve">
C2X/Fallon</t>
        </r>
      </text>
    </comment>
    <comment ref="M95" authorId="1" shapeId="0" xr:uid="{00000000-0006-0000-0200-000010000000}">
      <text>
        <r>
          <rPr>
            <b/>
            <sz val="8"/>
            <color indexed="81"/>
            <rFont val="Tahoma"/>
            <family val="2"/>
          </rPr>
          <t>russell.w.scott:</t>
        </r>
        <r>
          <rPr>
            <sz val="8"/>
            <color indexed="81"/>
            <rFont val="Tahoma"/>
            <family val="2"/>
          </rPr>
          <t xml:space="preserve">
C2X/Fallon</t>
        </r>
      </text>
    </comment>
    <comment ref="P95" authorId="1" shapeId="0" xr:uid="{00000000-0006-0000-0200-000011000000}">
      <text>
        <r>
          <rPr>
            <b/>
            <sz val="8"/>
            <color indexed="81"/>
            <rFont val="Tahoma"/>
            <family val="2"/>
          </rPr>
          <t>russell.w.scott:</t>
        </r>
        <r>
          <rPr>
            <sz val="8"/>
            <color indexed="81"/>
            <rFont val="Tahoma"/>
            <family val="2"/>
          </rPr>
          <t xml:space="preserve">
Pre-deployment at sea sustainment</t>
        </r>
      </text>
    </comment>
    <comment ref="A110" authorId="3" shapeId="0" xr:uid="{00000000-0006-0000-0200-000012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Cochran, Mark D Jr CDR USN (USA)</author>
    <author>russell.w.scott</author>
    <author>michael.fleetwood</author>
  </authors>
  <commentList>
    <comment ref="H14" authorId="0" shapeId="0" xr:uid="{00000000-0006-0000-0300-000001000000}">
      <text>
        <r>
          <rPr>
            <b/>
            <sz val="9"/>
            <color indexed="81"/>
            <rFont val="Tahoma"/>
            <family val="2"/>
          </rPr>
          <t>ARP VIRTUAL</t>
        </r>
      </text>
    </comment>
    <comment ref="I14" authorId="0" shapeId="0" xr:uid="{00000000-0006-0000-0300-000002000000}">
      <text>
        <r>
          <rPr>
            <b/>
            <sz val="9"/>
            <color indexed="81"/>
            <rFont val="Tahoma"/>
            <family val="2"/>
          </rPr>
          <t>ARP LIVE</t>
        </r>
      </text>
    </comment>
    <comment ref="J14" authorId="0" shapeId="0" xr:uid="{00000000-0006-0000-0300-000003000000}">
      <text>
        <r>
          <rPr>
            <b/>
            <sz val="9"/>
            <color indexed="81"/>
            <rFont val="Tahoma"/>
            <family val="2"/>
          </rPr>
          <t>TSTA</t>
        </r>
      </text>
    </comment>
    <comment ref="K14" authorId="1" shapeId="0" xr:uid="{00000000-0006-0000-0300-000004000000}">
      <text>
        <r>
          <rPr>
            <b/>
            <sz val="10"/>
            <color indexed="81"/>
            <rFont val="Tahoma"/>
            <family val="2"/>
          </rPr>
          <t>AWF</t>
        </r>
      </text>
    </comment>
    <comment ref="M14" authorId="1" shapeId="0" xr:uid="{00000000-0006-0000-0300-000005000000}">
      <text>
        <r>
          <rPr>
            <b/>
            <sz val="10"/>
            <color indexed="81"/>
            <rFont val="Tahoma"/>
            <family val="2"/>
          </rPr>
          <t>C2X</t>
        </r>
      </text>
    </comment>
    <comment ref="A24" authorId="0" shapeId="0" xr:uid="{00000000-0006-0000-0300-000006000000}">
      <text>
        <r>
          <rPr>
            <sz val="9"/>
            <color indexed="81"/>
            <rFont val="Tahoma"/>
            <family val="2"/>
          </rPr>
          <t>Includes Afloat and Det reuqirements here</t>
        </r>
      </text>
    </comment>
    <comment ref="A26" authorId="0" shapeId="0" xr:uid="{00000000-0006-0000-0300-000007000000}">
      <text>
        <r>
          <rPr>
            <sz val="9"/>
            <color indexed="81"/>
            <rFont val="Tahoma"/>
            <family val="2"/>
          </rPr>
          <t>Limited by THD during Mx phase based on 3510.11C formula.  Designed to maximize flight hours vice optimize T&amp;R hours.  Recommend a change to 3510.11C, to chnage formula to 100% training hours*$ of T&amp;R Matrix*Sim Fidelity %.  Then add MESH to ensure R+28 meets CNAF directed THD requirements, since that is technically MESH, as it is iin addition to signed T&amp;R requirements.</t>
        </r>
      </text>
    </comment>
    <comment ref="A28" authorId="0" shapeId="0" xr:uid="{00000000-0006-0000-0300-000008000000}">
      <text>
        <r>
          <rPr>
            <sz val="9"/>
            <color indexed="81"/>
            <rFont val="Tahoma"/>
            <family val="2"/>
          </rPr>
          <t>sim hours count toward 90 day average in SHARP 7.0, regardless of what 3500.1A says.</t>
        </r>
      </text>
    </comment>
    <comment ref="A30" authorId="2" shapeId="0" xr:uid="{00000000-0006-0000-0300-000009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C48" authorId="2" shapeId="0" xr:uid="{00000000-0006-0000-0300-00000A000000}">
      <text>
        <r>
          <rPr>
            <b/>
            <sz val="8"/>
            <color indexed="81"/>
            <rFont val="Tahoma"/>
            <family val="2"/>
          </rPr>
          <t>michael.fleetwood:</t>
        </r>
        <r>
          <rPr>
            <sz val="8"/>
            <color indexed="81"/>
            <rFont val="Tahoma"/>
            <family val="2"/>
          </rPr>
          <t xml:space="preserve">
Accuracy?</t>
        </r>
      </text>
    </comment>
    <comment ref="B82" authorId="2" shapeId="0" xr:uid="{00000000-0006-0000-0300-00000B000000}">
      <text>
        <r>
          <rPr>
            <b/>
            <sz val="8"/>
            <color indexed="81"/>
            <rFont val="Tahoma"/>
            <family val="2"/>
          </rPr>
          <t>michael.fleetwood:</t>
        </r>
        <r>
          <rPr>
            <sz val="8"/>
            <color indexed="81"/>
            <rFont val="Tahoma"/>
            <family val="2"/>
          </rPr>
          <t xml:space="preserve">
Use T&amp;R to determine Line-Items and Quantities</t>
        </r>
      </text>
    </comment>
    <comment ref="E95" authorId="1" shapeId="0" xr:uid="{00000000-0006-0000-0300-00000C000000}">
      <text>
        <r>
          <rPr>
            <b/>
            <sz val="8"/>
            <color indexed="81"/>
            <rFont val="Tahoma"/>
            <family val="2"/>
          </rPr>
          <t>russell.w.scott:</t>
        </r>
        <r>
          <rPr>
            <sz val="8"/>
            <color indexed="81"/>
            <rFont val="Tahoma"/>
            <family val="2"/>
          </rPr>
          <t xml:space="preserve">
SFARP</t>
        </r>
      </text>
    </comment>
    <comment ref="J95" authorId="1" shapeId="0" xr:uid="{00000000-0006-0000-0300-00000D000000}">
      <text>
        <r>
          <rPr>
            <b/>
            <sz val="8"/>
            <color indexed="81"/>
            <rFont val="Tahoma"/>
            <family val="2"/>
          </rPr>
          <t>russell.w.scott:</t>
        </r>
        <r>
          <rPr>
            <sz val="8"/>
            <color indexed="81"/>
            <rFont val="Tahoma"/>
            <family val="2"/>
          </rPr>
          <t xml:space="preserve">
TSTA/FEP</t>
        </r>
      </text>
    </comment>
    <comment ref="K95" authorId="1" shapeId="0" xr:uid="{00000000-0006-0000-0300-00000E000000}">
      <text>
        <r>
          <rPr>
            <b/>
            <sz val="8"/>
            <color indexed="81"/>
            <rFont val="Tahoma"/>
            <family val="2"/>
          </rPr>
          <t>russell.w.scott:</t>
        </r>
        <r>
          <rPr>
            <sz val="8"/>
            <color indexed="81"/>
            <rFont val="Tahoma"/>
            <family val="2"/>
          </rPr>
          <t xml:space="preserve">
C2X/Fallon</t>
        </r>
      </text>
    </comment>
    <comment ref="L95" authorId="1" shapeId="0" xr:uid="{00000000-0006-0000-0300-00000F000000}">
      <text>
        <r>
          <rPr>
            <b/>
            <sz val="8"/>
            <color indexed="81"/>
            <rFont val="Tahoma"/>
            <family val="2"/>
          </rPr>
          <t>russell.w.scott:</t>
        </r>
        <r>
          <rPr>
            <sz val="8"/>
            <color indexed="81"/>
            <rFont val="Tahoma"/>
            <family val="2"/>
          </rPr>
          <t xml:space="preserve">
C2X/Fallon</t>
        </r>
      </text>
    </comment>
    <comment ref="M95" authorId="1" shapeId="0" xr:uid="{00000000-0006-0000-0300-000010000000}">
      <text>
        <r>
          <rPr>
            <b/>
            <sz val="8"/>
            <color indexed="81"/>
            <rFont val="Tahoma"/>
            <family val="2"/>
          </rPr>
          <t>russell.w.scott:</t>
        </r>
        <r>
          <rPr>
            <sz val="8"/>
            <color indexed="81"/>
            <rFont val="Tahoma"/>
            <family val="2"/>
          </rPr>
          <t xml:space="preserve">
C2X/Fallon</t>
        </r>
      </text>
    </comment>
    <comment ref="P95" authorId="1" shapeId="0" xr:uid="{00000000-0006-0000-0300-000011000000}">
      <text>
        <r>
          <rPr>
            <b/>
            <sz val="8"/>
            <color indexed="81"/>
            <rFont val="Tahoma"/>
            <family val="2"/>
          </rPr>
          <t>russell.w.scott:</t>
        </r>
        <r>
          <rPr>
            <sz val="8"/>
            <color indexed="81"/>
            <rFont val="Tahoma"/>
            <family val="2"/>
          </rPr>
          <t xml:space="preserve">
Pre-deployment at sea sustainment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Fleetwood, Michael T CTR  COMNAVAIRLANT, NC007</author>
  </authors>
  <commentList>
    <comment ref="K2" authorId="0" shapeId="0" xr:uid="{00000000-0006-0000-0700-000001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C6" authorId="0" shapeId="0" xr:uid="{00000000-0006-0000-09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6" authorId="0" shapeId="0" xr:uid="{00000000-0006-0000-09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 ref="C27" authorId="0" shapeId="0" xr:uid="{00000000-0006-0000-0900-000003000000}">
      <text>
        <r>
          <rPr>
            <b/>
            <sz val="8"/>
            <color indexed="81"/>
            <rFont val="Tahoma"/>
            <family val="2"/>
          </rPr>
          <t>michael.fleetwood:</t>
        </r>
        <r>
          <rPr>
            <sz val="8"/>
            <color indexed="81"/>
            <rFont val="Tahoma"/>
            <family val="2"/>
          </rPr>
          <t xml:space="preserve">
Non-Integrated Systems are those items that attatch to the aircraft and do not necessarily affect the Material Condition of the aircraft when removed.  i.e. TFLIR, LDT, CATM</t>
        </r>
      </text>
    </comment>
  </commentList>
</comments>
</file>

<file path=xl/sharedStrings.xml><?xml version="1.0" encoding="utf-8"?>
<sst xmlns="http://schemas.openxmlformats.org/spreadsheetml/2006/main" count="801" uniqueCount="294">
  <si>
    <t>Standard Name</t>
  </si>
  <si>
    <t>ID</t>
  </si>
  <si>
    <t>Rev</t>
  </si>
  <si>
    <t>AMFOM</t>
  </si>
  <si>
    <t>Definitions</t>
  </si>
  <si>
    <t>Date</t>
  </si>
  <si>
    <t>Standard</t>
  </si>
  <si>
    <t>Change Summary</t>
  </si>
  <si>
    <t>All</t>
  </si>
  <si>
    <t>Initial Draft Standards</t>
  </si>
  <si>
    <t>VFA (10 Plane F35) DRRS</t>
  </si>
  <si>
    <t>Removed RBA/RFT and associated logic - Set Flightline % = 100%, MC % = 80%</t>
  </si>
  <si>
    <t>Added EOC L code: Ready IMC Flight Mission Systems (L), set equal to MC %</t>
  </si>
  <si>
    <t>FRS Standards moved to unique tab</t>
  </si>
  <si>
    <t>Added Squadron Manning standards: Rating Fit/Fill, NEC Fit, and MPR</t>
  </si>
  <si>
    <t>Updated AMFOM Standards and F-35C Matrix to remove RBA and replace with MC and added EOC (L)</t>
  </si>
  <si>
    <t>Navy F-35C TMS NTA to Mission Map</t>
  </si>
  <si>
    <t>Updated per CNAL N40</t>
  </si>
  <si>
    <t>VFA 10 Plane F35</t>
  </si>
  <si>
    <t>Final</t>
  </si>
  <si>
    <t>All Fleet Standards</t>
  </si>
  <si>
    <t>Changed R+10 to Adanced Phase</t>
  </si>
  <si>
    <t>FRS</t>
  </si>
  <si>
    <t>Updated to FY-22</t>
  </si>
  <si>
    <t>Updated to include FMC and Mission System values from ARC-N</t>
  </si>
  <si>
    <t>Updated 100% T&amp;R and Sim Fidelity</t>
  </si>
  <si>
    <t>Readiness Standards VFA F-35C Test</t>
  </si>
  <si>
    <t>New Standards</t>
  </si>
  <si>
    <t>Readiness Standards VFA F-35 10 Plane</t>
  </si>
  <si>
    <t>Inventory</t>
  </si>
  <si>
    <t>Rev:</t>
  </si>
  <si>
    <t>ID:</t>
  </si>
  <si>
    <t>PAA =</t>
  </si>
  <si>
    <t>Crew/Seat Ratio=</t>
  </si>
  <si>
    <t>Crews=</t>
  </si>
  <si>
    <t>ESL=</t>
  </si>
  <si>
    <t>100% T&amp;R Matrix=</t>
  </si>
  <si>
    <t>100% Training Hours=</t>
  </si>
  <si>
    <t>100% Training Sorties=</t>
  </si>
  <si>
    <t>Ashore Support Hours=</t>
  </si>
  <si>
    <t>Per Crew</t>
  </si>
  <si>
    <t>Tactical Hard Deck =</t>
  </si>
  <si>
    <t>Afloat Support Hours=</t>
  </si>
  <si>
    <t>Sim Fidelity %=</t>
  </si>
  <si>
    <t>Simulator Support Hours=</t>
  </si>
  <si>
    <t>FRTP Mode</t>
  </si>
  <si>
    <t>Maintenance</t>
  </si>
  <si>
    <t>Basic</t>
  </si>
  <si>
    <t>Advanced</t>
  </si>
  <si>
    <t>Integrated</t>
  </si>
  <si>
    <t xml:space="preserve">Sustain </t>
  </si>
  <si>
    <t>Deploy</t>
  </si>
  <si>
    <t>Tactical Hard Deck</t>
  </si>
  <si>
    <t>R+Month</t>
  </si>
  <si>
    <t>R+1</t>
  </si>
  <si>
    <t>R+2</t>
  </si>
  <si>
    <t>R+3</t>
  </si>
  <si>
    <t>R+4</t>
  </si>
  <si>
    <t xml:space="preserve">R+5 </t>
  </si>
  <si>
    <t xml:space="preserve">R+6 </t>
  </si>
  <si>
    <t xml:space="preserve">R+7 </t>
  </si>
  <si>
    <t xml:space="preserve">R+8 </t>
  </si>
  <si>
    <t xml:space="preserve">R+9 </t>
  </si>
  <si>
    <t xml:space="preserve">R+10 </t>
  </si>
  <si>
    <t>R+11</t>
  </si>
  <si>
    <t xml:space="preserve">R+12 </t>
  </si>
  <si>
    <t>R+13</t>
  </si>
  <si>
    <t>R+14</t>
  </si>
  <si>
    <t>R+15</t>
  </si>
  <si>
    <t>POM</t>
  </si>
  <si>
    <t>D+1</t>
  </si>
  <si>
    <t>D+2</t>
  </si>
  <si>
    <t>D+3</t>
  </si>
  <si>
    <t>D+4</t>
  </si>
  <si>
    <t>D+5</t>
  </si>
  <si>
    <t>D+6</t>
  </si>
  <si>
    <t>PDL</t>
  </si>
  <si>
    <t>R+24</t>
  </si>
  <si>
    <t>R+25</t>
  </si>
  <si>
    <t>R+26</t>
  </si>
  <si>
    <t>R+27</t>
  </si>
  <si>
    <t>R+28</t>
  </si>
  <si>
    <t>FRTP</t>
  </si>
  <si>
    <t>Mission</t>
  </si>
  <si>
    <t>ULT &amp; Depot Mx</t>
  </si>
  <si>
    <t>ARP to TSTA III</t>
  </si>
  <si>
    <t>FLN to C2X</t>
  </si>
  <si>
    <t>Deployment</t>
  </si>
  <si>
    <t>Sustain</t>
  </si>
  <si>
    <t>THD</t>
  </si>
  <si>
    <t>Training Resource Standards</t>
  </si>
  <si>
    <t>Average Training Readiness (ATR) Standard</t>
  </si>
  <si>
    <t>% of T&amp;R Matrix</t>
  </si>
  <si>
    <t>Flying Hours</t>
  </si>
  <si>
    <t>Training Sortie Standard</t>
  </si>
  <si>
    <t>Training Hours Standard</t>
  </si>
  <si>
    <t>Ashore Support Hours Total</t>
  </si>
  <si>
    <t>Afloat Support Hours Total</t>
  </si>
  <si>
    <t>Total Hours Standard</t>
  </si>
  <si>
    <t>Simulator Contribution</t>
  </si>
  <si>
    <t>Allocated Flight Hours</t>
  </si>
  <si>
    <t>Flight Hour Execution Standard (90 Day Avg)</t>
  </si>
  <si>
    <t>Simulator Hours</t>
  </si>
  <si>
    <t>Simulator Support Hours</t>
  </si>
  <si>
    <t>Aircraft Standards</t>
  </si>
  <si>
    <t>Flightline %</t>
  </si>
  <si>
    <t>MC %</t>
  </si>
  <si>
    <t>FMC %</t>
  </si>
  <si>
    <t>Flightline Standard</t>
  </si>
  <si>
    <t>MC Standard</t>
  </si>
  <si>
    <t>FMC Standard</t>
  </si>
  <si>
    <t>Integrated Mission Systems</t>
  </si>
  <si>
    <t>Ready F-35C USN Countermeasures Mission Systems (C)</t>
  </si>
  <si>
    <t>Ready F-35C USN Air to Air Mission Systems (D)</t>
  </si>
  <si>
    <t>Ready F-35C USN Close Air Support (CAS) Mission Systems (E)</t>
  </si>
  <si>
    <t>Ready F-35C USN Night Capable Mission Systems (H)</t>
  </si>
  <si>
    <t>Ready F-35C USN Basic Strike Fighter Mission Systems (J)</t>
  </si>
  <si>
    <t>Ready F-35C USN Expanded Mobility/Shipboard Mission Systems (K)</t>
  </si>
  <si>
    <t>Ready F-35C USN LO Mission Systems (M)</t>
  </si>
  <si>
    <t>Ready F-35C USN IMC Flight Mission Systems (L)</t>
  </si>
  <si>
    <t>Non-Integrated Mission Systems</t>
  </si>
  <si>
    <t>Assigned Gun Pod Sets</t>
  </si>
  <si>
    <t xml:space="preserve">Ready Gun Pod Sets </t>
  </si>
  <si>
    <t>Aircrew Manning and Crews</t>
  </si>
  <si>
    <t>Pilot Upper Limit</t>
  </si>
  <si>
    <t>Pilot Lower Limit</t>
  </si>
  <si>
    <t>&gt; L4+ Pilots</t>
  </si>
  <si>
    <t>&gt; L4 Pilots</t>
  </si>
  <si>
    <t>&gt; L3 Pilots</t>
  </si>
  <si>
    <t>&gt; L2 Pilots</t>
  </si>
  <si>
    <t>&gt; L1 Pilots</t>
  </si>
  <si>
    <t>NVC Quals</t>
  </si>
  <si>
    <t>OMS SME</t>
  </si>
  <si>
    <t>CVW Strike Leads</t>
  </si>
  <si>
    <t>Squadron Manning</t>
  </si>
  <si>
    <t>Overall Rating Fill</t>
  </si>
  <si>
    <t>Overall Rating Fit</t>
  </si>
  <si>
    <t>Overall NEC Fit</t>
  </si>
  <si>
    <t>Range of Performance Values - Do Not Modify - (Use these values to establish performance cutoffs)</t>
  </si>
  <si>
    <t>UCL (Red Above)</t>
  </si>
  <si>
    <t>UCL (Yellow Above)</t>
  </si>
  <si>
    <t>Training Readiness Standard</t>
  </si>
  <si>
    <t>LCL (Yellow Below)</t>
  </si>
  <si>
    <t>LCL (Red Below)</t>
  </si>
  <si>
    <t>Ef Crew Expectation Profile</t>
  </si>
  <si>
    <t>U/L CL Max:</t>
  </si>
  <si>
    <t>U/L CL Min:</t>
  </si>
  <si>
    <t>CBM Matrix Ef Values - Do Not Modify</t>
  </si>
  <si>
    <t>Trained Manpower and Crews</t>
  </si>
  <si>
    <t>&gt; L4FI Pilots</t>
  </si>
  <si>
    <t>JMPS SME</t>
  </si>
  <si>
    <t># Skilled Crews</t>
  </si>
  <si>
    <t>Monthly Variable Hours Assignments</t>
  </si>
  <si>
    <t>Simulator Replacement Month</t>
  </si>
  <si>
    <t>X</t>
  </si>
  <si>
    <t>Afloat Support Hours Assignment</t>
  </si>
  <si>
    <t>DRRS-N E-Pillar Break Points</t>
  </si>
  <si>
    <t>Green</t>
  </si>
  <si>
    <t>Yellow</t>
  </si>
  <si>
    <t>Red</t>
  </si>
  <si>
    <t>Aircraft</t>
  </si>
  <si>
    <t>Top</t>
  </si>
  <si>
    <t>In Reporting</t>
  </si>
  <si>
    <t>Mission Capable Aircraft (MC)</t>
  </si>
  <si>
    <t>FMC and Mission System Utilization Rates</t>
  </si>
  <si>
    <t>F-35C 10PAA v220921</t>
  </si>
  <si>
    <t>FMC % of MC</t>
  </si>
  <si>
    <t>Readiness Standards VFA F-35 14 Plane</t>
  </si>
  <si>
    <t>Ready Countermeasures Mission Systems (C)</t>
  </si>
  <si>
    <t>Ready Air to Air Mission Systems (D)</t>
  </si>
  <si>
    <t>Ready Close Air Support (CAS) Mission Systems (E)</t>
  </si>
  <si>
    <t>Ready Night Capable Mission Systems (H)</t>
  </si>
  <si>
    <t>Ready Basic Strike Fighter Mission Systems (J)</t>
  </si>
  <si>
    <t>Ready Expanded Mobility/Shipboard Mission Systems (K)</t>
  </si>
  <si>
    <t>Ready LO Mission Systems (M)</t>
  </si>
  <si>
    <t>Ready IMC Flight Mission Systems (L)</t>
  </si>
  <si>
    <t>F-35C 14PAA v220921</t>
  </si>
  <si>
    <t>Readiness Standards VFA F-35C FRS</t>
  </si>
  <si>
    <t>F-35C</t>
  </si>
  <si>
    <t>VFA-125 PAA =</t>
  </si>
  <si>
    <t>A-1</t>
  </si>
  <si>
    <t>NA</t>
  </si>
  <si>
    <t>VFA-125</t>
  </si>
  <si>
    <t>PAA</t>
  </si>
  <si>
    <t>Unit</t>
  </si>
  <si>
    <t>VX-9</t>
  </si>
  <si>
    <t>VX-23</t>
  </si>
  <si>
    <t>Test</t>
  </si>
  <si>
    <t>A+1</t>
  </si>
  <si>
    <t>TEST</t>
  </si>
  <si>
    <t>TMS</t>
  </si>
  <si>
    <t>Mission Essential Tasks</t>
  </si>
  <si>
    <t>NTA 1.1.2.3.3</t>
  </si>
  <si>
    <t>Conduct Flight Operations</t>
  </si>
  <si>
    <t>X (1)</t>
  </si>
  <si>
    <t>NTA 2.2.1</t>
  </si>
  <si>
    <t>Collect Target Information</t>
  </si>
  <si>
    <t>NTA 3.2.1.1</t>
  </si>
  <si>
    <t>Attack Surface Targets</t>
  </si>
  <si>
    <t>NTA 3.2.2</t>
  </si>
  <si>
    <t>Attack Enemy Land Targets</t>
  </si>
  <si>
    <t>NTA 3.2.3</t>
  </si>
  <si>
    <t>Attack Enemy Aircraft and Missiles (Offensive Counter Air)</t>
  </si>
  <si>
    <t>NTA 3.2.4</t>
  </si>
  <si>
    <t>Suppress Enemy Air Defenses (SEAD)</t>
  </si>
  <si>
    <t>NTA 3.2.6</t>
  </si>
  <si>
    <t>Interdict Enemy Operational Forces and Targets</t>
  </si>
  <si>
    <t>NTA 3.2.7</t>
  </si>
  <si>
    <t>Intercept, Engage, Neutralize Enemy Aircraft and Missiles (Defensive Counter Air)</t>
  </si>
  <si>
    <t>NTA 3.2.8</t>
  </si>
  <si>
    <t>Conduct Fire Support</t>
  </si>
  <si>
    <t>NTA 3.2.10</t>
  </si>
  <si>
    <t>Integrate Tactical Fires</t>
  </si>
  <si>
    <t>NTA 6.2</t>
  </si>
  <si>
    <t>Rescue and Recover</t>
  </si>
  <si>
    <t>NOTES:</t>
  </si>
  <si>
    <t>(1) Required for shipboard movement or as required for expanded mobility.</t>
  </si>
  <si>
    <t>Mission Systems</t>
  </si>
  <si>
    <t>Navy F-35C TMS MET to Mission Map</t>
  </si>
  <si>
    <t>Ready Combat Mission System One (RCM 1) (C)</t>
  </si>
  <si>
    <t>Ready Combat Mission System Two (RCM 2) (D)</t>
  </si>
  <si>
    <t>Ready Combat Mission System Three (RCM 3) (E)</t>
  </si>
  <si>
    <t>Ready Basic Mission (RBM) Systems (J)</t>
  </si>
  <si>
    <t>Ready Shipboard Mission Systems (K)</t>
  </si>
  <si>
    <t>MISSION ESSENTIAL TASKS</t>
  </si>
  <si>
    <t>X (2)</t>
  </si>
  <si>
    <t>(2) Systems are required per MEFL unless not specifically required for the mission or further coordination has been completed with the Operational Commander.</t>
  </si>
  <si>
    <t>F-35 MEFL does not contain any EOC C coded mission systems.</t>
  </si>
  <si>
    <t>F-35C Mission System Utilization per Flight Task</t>
  </si>
  <si>
    <t>Ready F-35C USN Combat Mission System One (RCM 1) (C)</t>
  </si>
  <si>
    <t>Ready F-35C USN Combat Mission System Two (RCM 2) (D)</t>
  </si>
  <si>
    <t>Ready F-35C USN Combat Mission System Three (RCM 3) (E)</t>
  </si>
  <si>
    <t>Ready F-35C USN Basic Mission (RBM) Systems (J)</t>
  </si>
  <si>
    <t>Ready F-35C USN Shipboard Mission Systems (K)</t>
  </si>
  <si>
    <t>Tab Inventory</t>
  </si>
  <si>
    <t>Mission System Groups VFA F-35C</t>
  </si>
  <si>
    <t>** MESM:</t>
  </si>
  <si>
    <t>Integrated Aircraft Mission Systems Configuration</t>
  </si>
  <si>
    <t>COMMUNITY</t>
  </si>
  <si>
    <t>TMS AFFECTED</t>
  </si>
  <si>
    <t>Mission System Group</t>
  </si>
  <si>
    <t xml:space="preserve">COMPONENTS/SYSTEMS/ MESM CODES </t>
  </si>
  <si>
    <t>VFA</t>
  </si>
  <si>
    <t xml:space="preserve">Ready Combat Mission System One (RCM 1) (C) </t>
  </si>
  <si>
    <t>High Threat Combat Operations (Code C)</t>
  </si>
  <si>
    <t>Air-to-Air Operations (Code D)</t>
  </si>
  <si>
    <t xml:space="preserve"> Close Air Support (CAS) (Code E)</t>
  </si>
  <si>
    <t xml:space="preserve"> Basic Strike Fighter Mission (Code J)</t>
  </si>
  <si>
    <t xml:space="preserve">       </t>
  </si>
  <si>
    <t>CV Operations Systems (Code K)</t>
  </si>
  <si>
    <t>Day/Night IMC Field Condition Systems (Code L)</t>
  </si>
  <si>
    <t>See Definitions Tab</t>
  </si>
  <si>
    <t>Non-Integrated Mission Systems (INVENTORY ITEMS)</t>
  </si>
  <si>
    <t>Mission Systems TOOLS TITLES</t>
  </si>
  <si>
    <t>Gun Pod Sets</t>
  </si>
  <si>
    <t>USN and USMC MESM Definitions</t>
  </si>
  <si>
    <t>Changes since last discussion in red</t>
  </si>
  <si>
    <r>
      <rPr>
        <b/>
        <sz val="11"/>
        <color theme="1"/>
        <rFont val="Calibri"/>
        <family val="2"/>
        <scheme val="minor"/>
      </rPr>
      <t>EOC= Equipment Operational Code</t>
    </r>
    <r>
      <rPr>
        <sz val="11"/>
        <color theme="1"/>
        <rFont val="Calibri"/>
        <family val="2"/>
        <scheme val="minor"/>
      </rPr>
      <t xml:space="preserve">
Adapted from: OPNAV 5442.4M 7 Oct 08 MESM F18E-F, 29 Jan 08 MESM F-18G</t>
    </r>
  </si>
  <si>
    <r>
      <t xml:space="preserve">Ground rules and assumptions:  List is non-hierarchical for jet status 'K', 'L', and 'Z' code.  To perform any mission, aircraft must not have a K, L, or Z code.  Aircraft can have multiple EOC codes associated with each system.  However, since ALIS allows for only one EOC per work order, the assigned EOC should be the most restrictive for the associated system.  The EOC may be changed or downgraded as corrective actions occur.  </t>
    </r>
    <r>
      <rPr>
        <b/>
        <sz val="11"/>
        <color theme="1"/>
        <rFont val="Calibri"/>
        <family val="2"/>
        <scheme val="minor"/>
      </rPr>
      <t xml:space="preserve">Assumpiton is every tasked combat mission will be from the ship, require IMC capability, and require A/A refueling (EOC codes K/L). </t>
    </r>
  </si>
  <si>
    <t>EOC Code</t>
  </si>
  <si>
    <t>Code Definition</t>
  </si>
  <si>
    <t>Mission in Question</t>
  </si>
  <si>
    <t>MC Status</t>
  </si>
  <si>
    <t>A</t>
  </si>
  <si>
    <t xml:space="preserve">All equipment operational, no EOC required.  Applies to maintenance only.  I.E., the aircraft might be waiting on a functional checkflight. </t>
  </si>
  <si>
    <t>FMC</t>
  </si>
  <si>
    <t>C</t>
  </si>
  <si>
    <t>Assign alpha character (C) of the EOC code when the associated systems are inoperative degrading the capability of high threat combat operations such as the Destruction of Enemy Air Defenses (DEAD). The aircraft is not capable of deploying full countermeasures nor using advanced systems. The aircraft is PMC, M or S.</t>
  </si>
  <si>
    <t>Not DEAD/ SEAD/ EA capable</t>
  </si>
  <si>
    <t>PMC</t>
  </si>
  <si>
    <t>D</t>
  </si>
  <si>
    <t>Assign alpha character (D) of the EOC code when the associated systems are inoperative degrading the capability of air-to-air operations such as Offensive Counter Air (OCA) and Defensive Counter Air (DCA). With EOC of (D) the aircraft is not capable of conducting OCA or DCA missions. The aircraft is PMC, M or S.</t>
  </si>
  <si>
    <t>Not OCA/DCA capable</t>
  </si>
  <si>
    <t>E</t>
  </si>
  <si>
    <t>Assign alpha character (E) of the EOC code when the associated systems are inoperative degrading the capability of Close Air Support (CAS).  The aircraft is PMC, M or S.</t>
  </si>
  <si>
    <t>Not CAS capable</t>
  </si>
  <si>
    <t>J</t>
  </si>
  <si>
    <t>Assign alpha character (J) of the EOC code when the associated system(s) are inoperative preventing the basic strike fighter mission.  The aircraft is not capable of conducting air / maritime interdiction, mining, reconnaissance, close air support, forward air control airborne, offensive / defensive counter air, alert launched intercept, basic fighter  maneuvering, or war—at—sea missions using all weapons and delivery modes regardless of terrain, weather or enemy defenses. Aircraft is capable of limited training such as Air Nav or FCLP. The aircraft is PMC, M or S.</t>
  </si>
  <si>
    <t>Not capable Basic Strike Fighter Mission, only Air Nav, FCLP, or similar</t>
  </si>
  <si>
    <t>K</t>
  </si>
  <si>
    <t>Assign alpha character (K) of the EOC code when the associated system(s) are inoperative preventing the expanded mobility mission, including aerial refueling.  The aircraft is not capable of safe movement on and off CV during day, night and inclement weather conditions, conducting independent navigation. The aircraft is PMC, M or S.</t>
  </si>
  <si>
    <t>Not capable of Expanded mobility /   Ship ops / CQ or similar</t>
  </si>
  <si>
    <t>L</t>
  </si>
  <si>
    <r>
      <t xml:space="preserve">Assign alpha character (L) of the EOC code when the associated system(s) are inoperative preventing the IMC flight mission. The aircraft is not capable of day or night IMC field flight operations when necessary communication, IFF, navigation, flight and safety systems required by applicable OPNAV, NATOPS and FAA.  </t>
    </r>
    <r>
      <rPr>
        <sz val="11"/>
        <rFont val="Calibri"/>
        <family val="2"/>
        <scheme val="minor"/>
      </rPr>
      <t xml:space="preserve">The aircraft is PMC, M or S. </t>
    </r>
  </si>
  <si>
    <t xml:space="preserve">Not IMC capable,    VFR only </t>
  </si>
  <si>
    <t>Z</t>
  </si>
  <si>
    <r>
      <t xml:space="preserve">Assign alpha character (Z) of the EOC code when the associated system(s)/condition(s) prevent the aircraft from being safely flyable. The aircraft is not capable of day VMC field flight operations with two-way radio communication and necessary aircraft and crew safety provisions.  </t>
    </r>
    <r>
      <rPr>
        <b/>
        <sz val="11"/>
        <color theme="1"/>
        <rFont val="Calibri"/>
        <family val="2"/>
        <scheme val="minor"/>
      </rPr>
      <t xml:space="preserve"> </t>
    </r>
    <r>
      <rPr>
        <sz val="11"/>
        <color theme="1"/>
        <rFont val="Calibri"/>
        <family val="2"/>
        <scheme val="minor"/>
      </rPr>
      <t xml:space="preserve">The aircraft is NMC, either M or S. </t>
    </r>
  </si>
  <si>
    <t>Not Safe to Fly</t>
  </si>
  <si>
    <t>NMC</t>
  </si>
  <si>
    <t xml:space="preserve">EOC- Equipment Operational Code, EOCs will be constant across both DoN variants.  </t>
  </si>
  <si>
    <t>Mission Capable (MC) is defined in reference (e).  MC is a “Material condition of an aircraft that can perform at least one and potentially all of its missions. MC Hours = EIS Hours - NMC Hours.”  MC in this sense is not used in this document, but describes its current status as on the moment it was reported in the AMSRRWeb application.</t>
  </si>
  <si>
    <t>FCF- Functional Check Flight</t>
  </si>
  <si>
    <t>PMC- Partially Mission Capable</t>
  </si>
  <si>
    <t>NMC, M or S- Non Mission Capable, Maint or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</si>
</sst>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409]d\-mmm\-yy;@"/>
    <numFmt numFmtId="167" formatCode="0.0%"/>
  </numFmts>
  <fonts count="62" x14ac:knownFonts="1">
    <font>
      <sz val="11"/>
      <color theme="1"/>
      <name val="Calibri"/>
      <family val="2"/>
      <scheme val="minor"/>
    </font>
    <font>
      <sz val="10"/>
      <name val="Arial"/>
      <family val="2"/>
    </font>
    <font>
      <sz val="9"/>
      <name val="Calibri"/>
      <family val="2"/>
      <scheme val="minor"/>
    </font>
    <font>
      <b/>
      <i/>
      <sz val="9"/>
      <name val="Calibri"/>
      <family val="2"/>
      <scheme val="minor"/>
    </font>
    <font>
      <sz val="9"/>
      <color indexed="8"/>
      <name val="Calibri"/>
      <family val="2"/>
      <scheme val="minor"/>
    </font>
    <font>
      <b/>
      <i/>
      <sz val="10"/>
      <name val="Calibri"/>
      <family val="2"/>
      <scheme val="minor"/>
    </font>
    <font>
      <sz val="9"/>
      <color indexed="10"/>
      <name val="Calibri"/>
      <family val="2"/>
      <scheme val="minor"/>
    </font>
    <font>
      <sz val="8"/>
      <name val="Calibri"/>
      <family val="2"/>
      <scheme val="minor"/>
    </font>
    <font>
      <sz val="14"/>
      <name val="Calibri"/>
      <family val="2"/>
      <scheme val="minor"/>
    </font>
    <font>
      <sz val="14"/>
      <name val="Calibri"/>
      <family val="2"/>
    </font>
    <font>
      <b/>
      <sz val="14"/>
      <name val="Calibri"/>
      <family val="2"/>
    </font>
    <font>
      <b/>
      <sz val="14"/>
      <name val="Calibri"/>
      <family val="2"/>
      <scheme val="minor"/>
    </font>
    <font>
      <sz val="8"/>
      <color indexed="81"/>
      <name val="Tahoma"/>
      <family val="2"/>
    </font>
    <font>
      <b/>
      <sz val="8"/>
      <color indexed="81"/>
      <name val="Tahoma"/>
      <family val="2"/>
    </font>
    <font>
      <b/>
      <sz val="8"/>
      <name val="Calibri"/>
      <family val="2"/>
      <scheme val="minor"/>
    </font>
    <font>
      <b/>
      <sz val="10"/>
      <name val="Arial"/>
      <family val="2"/>
    </font>
    <font>
      <b/>
      <i/>
      <sz val="12"/>
      <color theme="1"/>
      <name val="Calibri"/>
      <family val="2"/>
      <scheme val="minor"/>
    </font>
    <font>
      <sz val="10"/>
      <name val="Arial"/>
      <family val="2"/>
    </font>
    <font>
      <sz val="9"/>
      <color theme="1"/>
      <name val="Calibri"/>
      <family val="2"/>
      <scheme val="minor"/>
    </font>
    <font>
      <b/>
      <sz val="9"/>
      <name val="Calibri"/>
      <family val="2"/>
      <scheme val="minor"/>
    </font>
    <font>
      <b/>
      <sz val="8"/>
      <color indexed="12"/>
      <name val="Calibri"/>
      <family val="2"/>
      <scheme val="minor"/>
    </font>
    <font>
      <sz val="10"/>
      <name val="Arial"/>
      <family val="2"/>
    </font>
    <font>
      <b/>
      <sz val="12"/>
      <name val="Arial"/>
      <family val="2"/>
    </font>
    <font>
      <sz val="11"/>
      <color theme="1"/>
      <name val="Calibri"/>
      <family val="2"/>
      <scheme val="minor"/>
    </font>
    <font>
      <sz val="11"/>
      <name val="Calibri"/>
      <family val="2"/>
      <scheme val="minor"/>
    </font>
    <font>
      <b/>
      <i/>
      <sz val="8"/>
      <name val="Calibri"/>
      <family val="2"/>
      <scheme val="minor"/>
    </font>
    <font>
      <b/>
      <sz val="10"/>
      <color indexed="81"/>
      <name val="Tahoma"/>
      <family val="2"/>
    </font>
    <font>
      <sz val="9"/>
      <color indexed="81"/>
      <name val="Tahoma"/>
      <family val="2"/>
    </font>
    <font>
      <b/>
      <sz val="9"/>
      <color indexed="81"/>
      <name val="Tahoma"/>
      <family val="2"/>
    </font>
    <font>
      <b/>
      <i/>
      <sz val="11"/>
      <name val="Calibri"/>
      <family val="2"/>
      <scheme val="minor"/>
    </font>
    <font>
      <b/>
      <i/>
      <sz val="11"/>
      <color rgb="FF00CC00"/>
      <name val="Calibri"/>
      <family val="2"/>
      <scheme val="minor"/>
    </font>
    <font>
      <u/>
      <sz val="10"/>
      <color theme="10"/>
      <name val="Arial"/>
      <family val="2"/>
    </font>
    <font>
      <b/>
      <sz val="8"/>
      <name val="Arial"/>
      <family val="2"/>
    </font>
    <font>
      <b/>
      <sz val="16"/>
      <name val="Arial"/>
      <family val="2"/>
    </font>
    <font>
      <u/>
      <sz val="14"/>
      <color theme="10"/>
      <name val="Calibri"/>
      <family val="2"/>
      <scheme val="minor"/>
    </font>
    <font>
      <u/>
      <sz val="11"/>
      <color theme="10"/>
      <name val="Calibri"/>
      <family val="2"/>
      <scheme val="minor"/>
    </font>
    <font>
      <sz val="10"/>
      <name val="Calibri"/>
      <family val="2"/>
      <scheme val="minor"/>
    </font>
    <font>
      <b/>
      <sz val="10"/>
      <name val="Calibri"/>
      <family val="2"/>
      <scheme val="minor"/>
    </font>
    <font>
      <b/>
      <sz val="16"/>
      <name val="Calibri"/>
      <family val="2"/>
      <scheme val="minor"/>
    </font>
    <font>
      <sz val="16"/>
      <name val="Calibri"/>
      <family val="2"/>
      <scheme val="minor"/>
    </font>
    <font>
      <sz val="10"/>
      <name val="Arial"/>
      <family val="2"/>
    </font>
    <font>
      <sz val="10"/>
      <color theme="1"/>
      <name val="Arial"/>
      <family val="2"/>
    </font>
    <font>
      <sz val="9"/>
      <color theme="1"/>
      <name val="Arial"/>
      <family val="2"/>
    </font>
    <font>
      <sz val="9"/>
      <name val="Arial"/>
      <family val="2"/>
    </font>
    <font>
      <sz val="8"/>
      <name val="Arial"/>
      <family val="2"/>
    </font>
    <font>
      <u/>
      <sz val="10"/>
      <color theme="10"/>
      <name val="Calibri"/>
      <family val="2"/>
      <scheme val="minor"/>
    </font>
    <font>
      <sz val="12"/>
      <name val="Calibri"/>
      <family val="2"/>
      <scheme val="minor"/>
    </font>
    <font>
      <b/>
      <sz val="12"/>
      <name val="Calibri"/>
      <family val="2"/>
      <scheme val="minor"/>
    </font>
    <font>
      <b/>
      <sz val="8"/>
      <color indexed="55"/>
      <name val="Calibri"/>
      <family val="2"/>
      <scheme val="minor"/>
    </font>
    <font>
      <sz val="8"/>
      <color indexed="55"/>
      <name val="Calibri"/>
      <family val="2"/>
      <scheme val="minor"/>
    </font>
    <font>
      <b/>
      <sz val="11"/>
      <color theme="1"/>
      <name val="Calibri"/>
      <family val="2"/>
      <scheme val="minor"/>
    </font>
    <font>
      <b/>
      <i/>
      <sz val="11"/>
      <color theme="1"/>
      <name val="Calibri"/>
      <family val="2"/>
      <scheme val="minor"/>
    </font>
    <font>
      <u/>
      <sz val="11"/>
      <color theme="10"/>
      <name val="Calibri"/>
      <family val="2"/>
    </font>
    <font>
      <u/>
      <sz val="10"/>
      <color theme="10"/>
      <name val="Calibri"/>
      <family val="2"/>
    </font>
    <font>
      <b/>
      <sz val="12"/>
      <color theme="1"/>
      <name val="Calibri"/>
      <family val="2"/>
      <scheme val="minor"/>
    </font>
    <font>
      <sz val="8"/>
      <name val="Calibri"/>
      <family val="2"/>
    </font>
    <font>
      <u/>
      <sz val="9"/>
      <color theme="10"/>
      <name val="Calibri"/>
      <family val="2"/>
      <scheme val="minor"/>
    </font>
    <font>
      <b/>
      <sz val="11"/>
      <name val="Arial"/>
      <family val="2"/>
    </font>
    <font>
      <b/>
      <sz val="14"/>
      <name val="Arial"/>
      <family val="2"/>
    </font>
    <font>
      <b/>
      <sz val="10"/>
      <color indexed="8"/>
      <name val="Arial"/>
      <family val="2"/>
    </font>
    <font>
      <b/>
      <sz val="10"/>
      <color theme="1"/>
      <name val="Arial"/>
      <family val="2"/>
    </font>
    <font>
      <sz val="8"/>
      <name val="Tahoma"/>
      <family val="2"/>
    </font>
  </fonts>
  <fills count="17">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2"/>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66FF66"/>
        <bgColor indexed="64"/>
      </patternFill>
    </fill>
    <fill>
      <patternFill patternType="solid">
        <fgColor rgb="FFFFFF99"/>
        <bgColor indexed="64"/>
      </patternFill>
    </fill>
    <fill>
      <patternFill patternType="solid">
        <fgColor rgb="FFFF797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s>
  <borders count="48">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5" borderId="14">
      <alignment horizontal="center" textRotation="90"/>
    </xf>
    <xf numFmtId="0" fontId="1" fillId="0" borderId="0">
      <alignment textRotation="90"/>
    </xf>
    <xf numFmtId="9" fontId="1"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21" fillId="0" borderId="0"/>
    <xf numFmtId="0" fontId="52" fillId="0" borderId="0" applyNumberFormat="0" applyFill="0" applyBorder="0" applyAlignment="0" applyProtection="0">
      <alignment vertical="top"/>
      <protection locked="0"/>
    </xf>
    <xf numFmtId="0" fontId="1" fillId="0" borderId="0"/>
    <xf numFmtId="0" fontId="1" fillId="0" borderId="0"/>
    <xf numFmtId="0" fontId="31" fillId="0" borderId="0" applyNumberFormat="0" applyFill="0" applyBorder="0" applyAlignment="0" applyProtection="0">
      <alignment vertical="top"/>
      <protection locked="0"/>
    </xf>
    <xf numFmtId="0" fontId="1" fillId="0" borderId="0"/>
    <xf numFmtId="0" fontId="1" fillId="0" borderId="0"/>
    <xf numFmtId="0" fontId="40"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45"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3" fillId="0" borderId="0"/>
  </cellStyleXfs>
  <cellXfs count="476">
    <xf numFmtId="0" fontId="0" fillId="0" borderId="0" xfId="0"/>
    <xf numFmtId="0" fontId="2" fillId="0" borderId="0" xfId="3" applyFont="1"/>
    <xf numFmtId="0" fontId="2" fillId="2" borderId="1" xfId="3" applyFont="1" applyFill="1" applyBorder="1" applyAlignment="1">
      <alignment horizontal="center"/>
    </xf>
    <xf numFmtId="0" fontId="2" fillId="2" borderId="2" xfId="3" applyFont="1" applyFill="1" applyBorder="1"/>
    <xf numFmtId="0" fontId="2" fillId="2" borderId="4" xfId="3" applyFont="1" applyFill="1" applyBorder="1"/>
    <xf numFmtId="0" fontId="2" fillId="2" borderId="6" xfId="3" applyFont="1" applyFill="1" applyBorder="1"/>
    <xf numFmtId="0" fontId="2" fillId="2" borderId="1" xfId="3" applyFont="1" applyFill="1" applyBorder="1" applyAlignment="1">
      <alignment horizontal="center" vertical="center"/>
    </xf>
    <xf numFmtId="1" fontId="4" fillId="2" borderId="3" xfId="3" applyNumberFormat="1" applyFont="1" applyFill="1" applyBorder="1" applyAlignment="1">
      <alignment horizontal="center"/>
    </xf>
    <xf numFmtId="0" fontId="4" fillId="2" borderId="3" xfId="3" applyFont="1" applyFill="1" applyBorder="1" applyAlignment="1">
      <alignment horizontal="center"/>
    </xf>
    <xf numFmtId="1" fontId="4" fillId="2" borderId="5" xfId="3" applyNumberFormat="1" applyFont="1" applyFill="1" applyBorder="1" applyAlignment="1">
      <alignment horizontal="center"/>
    </xf>
    <xf numFmtId="0" fontId="2" fillId="0" borderId="0" xfId="3" applyFont="1" applyFill="1"/>
    <xf numFmtId="0" fontId="2" fillId="0" borderId="0" xfId="3" applyFont="1" applyFill="1" applyBorder="1"/>
    <xf numFmtId="0" fontId="2" fillId="3" borderId="0" xfId="3" applyFont="1" applyFill="1" applyBorder="1" applyAlignment="1">
      <alignment horizontal="center"/>
    </xf>
    <xf numFmtId="0" fontId="2" fillId="3" borderId="0" xfId="3" applyFont="1" applyFill="1" applyBorder="1"/>
    <xf numFmtId="0" fontId="2" fillId="3" borderId="0" xfId="3" applyFont="1" applyFill="1"/>
    <xf numFmtId="2" fontId="2" fillId="2" borderId="13" xfId="3" applyNumberFormat="1" applyFont="1" applyFill="1" applyBorder="1" applyAlignment="1">
      <alignment horizontal="center"/>
    </xf>
    <xf numFmtId="0" fontId="3" fillId="2" borderId="2" xfId="3" applyFont="1" applyFill="1" applyBorder="1" applyAlignment="1">
      <alignment horizontal="right"/>
    </xf>
    <xf numFmtId="2" fontId="2" fillId="2" borderId="14" xfId="3" applyNumberFormat="1" applyFont="1" applyFill="1" applyBorder="1" applyAlignment="1">
      <alignment horizontal="center"/>
    </xf>
    <xf numFmtId="0" fontId="3" fillId="2" borderId="4" xfId="3" applyFont="1" applyFill="1" applyBorder="1" applyAlignment="1">
      <alignment horizontal="right"/>
    </xf>
    <xf numFmtId="0" fontId="2" fillId="0" borderId="0" xfId="3" applyFont="1" applyBorder="1"/>
    <xf numFmtId="0" fontId="4" fillId="6" borderId="14" xfId="3" applyFont="1" applyFill="1" applyBorder="1" applyAlignment="1">
      <alignment horizontal="center"/>
    </xf>
    <xf numFmtId="0" fontId="2" fillId="6" borderId="14" xfId="3" applyFont="1" applyFill="1" applyBorder="1"/>
    <xf numFmtId="1" fontId="4" fillId="0" borderId="15" xfId="3" applyNumberFormat="1" applyFont="1" applyBorder="1" applyAlignment="1">
      <alignment horizontal="center"/>
    </xf>
    <xf numFmtId="1" fontId="4" fillId="0" borderId="20" xfId="3" applyNumberFormat="1" applyFont="1" applyBorder="1" applyAlignment="1">
      <alignment horizontal="center"/>
    </xf>
    <xf numFmtId="0" fontId="2" fillId="0" borderId="14" xfId="3" applyFont="1" applyBorder="1"/>
    <xf numFmtId="0" fontId="4" fillId="0" borderId="21" xfId="3" applyFont="1" applyBorder="1" applyAlignment="1">
      <alignment horizontal="center"/>
    </xf>
    <xf numFmtId="0" fontId="4" fillId="0" borderId="18" xfId="3" applyFont="1" applyBorder="1" applyAlignment="1">
      <alignment horizontal="center"/>
    </xf>
    <xf numFmtId="0" fontId="5" fillId="0" borderId="18" xfId="3" applyFont="1" applyFill="1" applyBorder="1"/>
    <xf numFmtId="0" fontId="2" fillId="0" borderId="15" xfId="3" applyFont="1" applyFill="1" applyBorder="1"/>
    <xf numFmtId="0" fontId="4" fillId="0" borderId="14" xfId="3" applyFont="1" applyFill="1" applyBorder="1"/>
    <xf numFmtId="164" fontId="2" fillId="0" borderId="0" xfId="3" applyNumberFormat="1" applyFont="1" applyBorder="1"/>
    <xf numFmtId="2" fontId="2" fillId="0" borderId="18" xfId="3" applyNumberFormat="1" applyFont="1" applyFill="1" applyBorder="1" applyAlignment="1">
      <alignment horizontal="center"/>
    </xf>
    <xf numFmtId="2" fontId="2" fillId="0" borderId="14" xfId="3" applyNumberFormat="1" applyFont="1" applyFill="1" applyBorder="1" applyAlignment="1">
      <alignment horizontal="center"/>
    </xf>
    <xf numFmtId="0" fontId="2" fillId="0" borderId="14" xfId="3" applyFont="1" applyFill="1" applyBorder="1"/>
    <xf numFmtId="9" fontId="2" fillId="0" borderId="0" xfId="2" applyFont="1" applyBorder="1"/>
    <xf numFmtId="0" fontId="2" fillId="0" borderId="14" xfId="3" applyFont="1" applyFill="1" applyBorder="1" applyAlignment="1">
      <alignment horizontal="right"/>
    </xf>
    <xf numFmtId="9" fontId="2" fillId="0" borderId="18" xfId="2" applyFont="1" applyFill="1" applyBorder="1" applyAlignment="1">
      <alignment horizontal="center"/>
    </xf>
    <xf numFmtId="9" fontId="2" fillId="0" borderId="14" xfId="2" applyFont="1" applyFill="1" applyBorder="1" applyAlignment="1">
      <alignment horizontal="center"/>
    </xf>
    <xf numFmtId="165" fontId="2" fillId="0" borderId="15" xfId="1" applyNumberFormat="1" applyFont="1" applyFill="1" applyBorder="1" applyAlignment="1">
      <alignment horizontal="center"/>
    </xf>
    <xf numFmtId="165" fontId="2" fillId="0" borderId="20" xfId="1" applyNumberFormat="1" applyFont="1" applyFill="1" applyBorder="1" applyAlignment="1">
      <alignment horizontal="center"/>
    </xf>
    <xf numFmtId="1" fontId="2" fillId="0" borderId="0" xfId="3" applyNumberFormat="1" applyFont="1" applyBorder="1"/>
    <xf numFmtId="165" fontId="2" fillId="0" borderId="18" xfId="1" applyNumberFormat="1" applyFont="1" applyFill="1" applyBorder="1" applyAlignment="1">
      <alignment horizontal="center"/>
    </xf>
    <xf numFmtId="165" fontId="2" fillId="0" borderId="14" xfId="1" applyNumberFormat="1" applyFont="1" applyFill="1" applyBorder="1" applyAlignment="1">
      <alignment horizontal="center"/>
    </xf>
    <xf numFmtId="0" fontId="2" fillId="0" borderId="0" xfId="3" applyFont="1" applyFill="1" applyAlignment="1">
      <alignment horizontal="right"/>
    </xf>
    <xf numFmtId="1" fontId="2" fillId="0" borderId="14" xfId="1" applyNumberFormat="1" applyFont="1" applyFill="1" applyBorder="1" applyAlignment="1">
      <alignment horizontal="center"/>
    </xf>
    <xf numFmtId="0" fontId="2" fillId="0" borderId="21" xfId="3" applyFont="1" applyBorder="1" applyAlignment="1">
      <alignment horizontal="centerContinuous" vertical="center"/>
    </xf>
    <xf numFmtId="0" fontId="2" fillId="0" borderId="21" xfId="3" applyFont="1" applyBorder="1" applyAlignment="1">
      <alignment horizontal="center" vertical="center"/>
    </xf>
    <xf numFmtId="0" fontId="2" fillId="0" borderId="18" xfId="3" applyFont="1" applyBorder="1"/>
    <xf numFmtId="0" fontId="2" fillId="0" borderId="0" xfId="3" applyFont="1" applyAlignment="1">
      <alignment horizontal="center"/>
    </xf>
    <xf numFmtId="0" fontId="2" fillId="0" borderId="14" xfId="3" applyFont="1" applyBorder="1" applyAlignment="1">
      <alignment horizontal="center"/>
    </xf>
    <xf numFmtId="0" fontId="2" fillId="0" borderId="0" xfId="3" applyFont="1" applyFill="1" applyAlignment="1">
      <alignment horizontal="center"/>
    </xf>
    <xf numFmtId="0" fontId="2" fillId="3" borderId="14" xfId="3" applyFont="1" applyFill="1" applyBorder="1" applyAlignment="1">
      <alignment horizontal="center" textRotation="90" wrapText="1"/>
    </xf>
    <xf numFmtId="0" fontId="2" fillId="0" borderId="14" xfId="3" applyFont="1" applyFill="1" applyBorder="1" applyAlignment="1">
      <alignment horizontal="center" textRotation="90"/>
    </xf>
    <xf numFmtId="0" fontId="7" fillId="3" borderId="0" xfId="3" applyFont="1" applyFill="1"/>
    <xf numFmtId="164" fontId="7" fillId="3" borderId="0" xfId="3" applyNumberFormat="1" applyFont="1" applyFill="1"/>
    <xf numFmtId="9" fontId="7" fillId="0" borderId="0" xfId="3" applyNumberFormat="1" applyFont="1" applyFill="1"/>
    <xf numFmtId="164" fontId="7" fillId="3" borderId="0" xfId="3" applyNumberFormat="1" applyFont="1" applyFill="1" applyAlignment="1">
      <alignment horizontal="right"/>
    </xf>
    <xf numFmtId="0" fontId="7" fillId="3" borderId="0" xfId="3" applyFont="1" applyFill="1" applyAlignment="1">
      <alignment horizontal="right"/>
    </xf>
    <xf numFmtId="164" fontId="7" fillId="0" borderId="0" xfId="3" applyNumberFormat="1" applyFont="1" applyFill="1"/>
    <xf numFmtId="0" fontId="7" fillId="3" borderId="0" xfId="3" quotePrefix="1" applyFont="1" applyFill="1" applyAlignment="1">
      <alignment horizontal="right"/>
    </xf>
    <xf numFmtId="0" fontId="8" fillId="3" borderId="0" xfId="3" applyFont="1" applyFill="1" applyAlignment="1">
      <alignment horizontal="center"/>
    </xf>
    <xf numFmtId="0" fontId="16" fillId="0" borderId="0" xfId="0" applyFont="1" applyAlignment="1">
      <alignment horizontal="center"/>
    </xf>
    <xf numFmtId="9" fontId="7" fillId="3" borderId="0" xfId="2" applyFont="1" applyFill="1"/>
    <xf numFmtId="0" fontId="7" fillId="3" borderId="0" xfId="3" applyFont="1" applyFill="1" applyBorder="1"/>
    <xf numFmtId="0" fontId="8" fillId="0" borderId="0" xfId="3" applyFont="1" applyFill="1" applyBorder="1" applyAlignment="1">
      <alignment horizontal="left"/>
    </xf>
    <xf numFmtId="0" fontId="8" fillId="0" borderId="0" xfId="3" applyFont="1" applyFill="1" applyBorder="1" applyAlignment="1">
      <alignment horizontal="center"/>
    </xf>
    <xf numFmtId="164" fontId="7" fillId="0" borderId="0" xfId="3" applyNumberFormat="1" applyFont="1" applyFill="1" applyBorder="1"/>
    <xf numFmtId="0" fontId="7" fillId="0" borderId="0" xfId="3" applyFont="1" applyFill="1" applyBorder="1" applyAlignment="1">
      <alignment horizontal="right"/>
    </xf>
    <xf numFmtId="0" fontId="7" fillId="0" borderId="0" xfId="3" applyFont="1" applyFill="1" applyBorder="1"/>
    <xf numFmtId="0" fontId="7" fillId="0" borderId="0" xfId="3" quotePrefix="1" applyFont="1" applyFill="1" applyBorder="1" applyAlignment="1">
      <alignment horizontal="right"/>
    </xf>
    <xf numFmtId="2" fontId="7" fillId="0" borderId="0" xfId="3" applyNumberFormat="1" applyFont="1" applyFill="1" applyBorder="1" applyAlignment="1">
      <alignment horizontal="right"/>
    </xf>
    <xf numFmtId="164" fontId="7" fillId="0" borderId="0" xfId="3" applyNumberFormat="1" applyFont="1" applyFill="1" applyBorder="1" applyAlignment="1">
      <alignment horizontal="right"/>
    </xf>
    <xf numFmtId="10" fontId="7" fillId="0" borderId="0" xfId="2" applyNumberFormat="1" applyFont="1" applyFill="1" applyBorder="1"/>
    <xf numFmtId="2" fontId="7" fillId="0" borderId="0" xfId="3" applyNumberFormat="1" applyFont="1" applyFill="1" applyBorder="1"/>
    <xf numFmtId="0" fontId="2" fillId="3" borderId="0" xfId="3" applyFont="1" applyFill="1" applyBorder="1" applyAlignment="1">
      <alignment vertical="center"/>
    </xf>
    <xf numFmtId="0" fontId="2" fillId="2" borderId="2" xfId="3" applyFont="1" applyFill="1" applyBorder="1" applyAlignment="1">
      <alignment horizontal="right"/>
    </xf>
    <xf numFmtId="0" fontId="2" fillId="2" borderId="13" xfId="3" applyFont="1" applyFill="1" applyBorder="1" applyAlignment="1">
      <alignment horizontal="center"/>
    </xf>
    <xf numFmtId="0" fontId="2" fillId="0" borderId="18" xfId="3" applyFont="1" applyFill="1" applyBorder="1" applyAlignment="1">
      <alignment horizontal="center" textRotation="90"/>
    </xf>
    <xf numFmtId="0" fontId="2" fillId="0" borderId="18" xfId="3" applyFont="1" applyBorder="1" applyAlignment="1">
      <alignment horizontal="center"/>
    </xf>
    <xf numFmtId="0" fontId="3" fillId="2" borderId="12" xfId="3" applyFont="1" applyFill="1" applyBorder="1" applyAlignment="1">
      <alignment horizontal="right"/>
    </xf>
    <xf numFmtId="2" fontId="2" fillId="2" borderId="20" xfId="3" applyNumberFormat="1" applyFont="1" applyFill="1" applyBorder="1" applyAlignment="1">
      <alignment horizontal="center"/>
    </xf>
    <xf numFmtId="0" fontId="7" fillId="0" borderId="0" xfId="3" applyFont="1"/>
    <xf numFmtId="2" fontId="19" fillId="2" borderId="14" xfId="3" applyNumberFormat="1" applyFont="1" applyFill="1" applyBorder="1" applyAlignment="1">
      <alignment horizontal="center"/>
    </xf>
    <xf numFmtId="0" fontId="7" fillId="2" borderId="12" xfId="3" applyFont="1" applyFill="1" applyBorder="1" applyAlignment="1">
      <alignment horizontal="right"/>
    </xf>
    <xf numFmtId="2" fontId="20" fillId="2" borderId="11" xfId="3" applyNumberFormat="1" applyFont="1" applyFill="1" applyBorder="1" applyAlignment="1">
      <alignment horizontal="right"/>
    </xf>
    <xf numFmtId="0" fontId="7" fillId="2" borderId="2" xfId="3" applyFont="1" applyFill="1" applyBorder="1" applyAlignment="1">
      <alignment horizontal="right"/>
    </xf>
    <xf numFmtId="2" fontId="20" fillId="2" borderId="1" xfId="3" applyNumberFormat="1" applyFont="1" applyFill="1" applyBorder="1" applyAlignment="1">
      <alignment horizontal="right"/>
    </xf>
    <xf numFmtId="0" fontId="2" fillId="2" borderId="12" xfId="3" applyFont="1" applyFill="1" applyBorder="1" applyAlignment="1">
      <alignment horizontal="right"/>
    </xf>
    <xf numFmtId="0" fontId="2" fillId="0" borderId="14" xfId="3" applyFont="1" applyBorder="1" applyAlignment="1">
      <alignment horizontal="left"/>
    </xf>
    <xf numFmtId="165" fontId="2" fillId="3" borderId="14" xfId="6" applyNumberFormat="1" applyFont="1" applyFill="1" applyBorder="1" applyAlignment="1">
      <alignment horizontal="center"/>
    </xf>
    <xf numFmtId="0" fontId="5" fillId="0" borderId="19" xfId="3" applyFont="1" applyFill="1" applyBorder="1"/>
    <xf numFmtId="166" fontId="11" fillId="0" borderId="0" xfId="3" applyNumberFormat="1" applyFont="1" applyFill="1" applyBorder="1" applyAlignment="1" applyProtection="1">
      <protection locked="0"/>
    </xf>
    <xf numFmtId="0" fontId="7" fillId="3" borderId="0" xfId="3" applyFont="1" applyFill="1" applyBorder="1" applyAlignment="1">
      <alignment horizontal="center"/>
    </xf>
    <xf numFmtId="165" fontId="2" fillId="3" borderId="18" xfId="6" applyNumberFormat="1" applyFont="1" applyFill="1" applyBorder="1" applyAlignment="1">
      <alignment horizontal="center"/>
    </xf>
    <xf numFmtId="0" fontId="22" fillId="0" borderId="0" xfId="15" applyFont="1" applyAlignment="1">
      <alignment horizontal="right"/>
    </xf>
    <xf numFmtId="0" fontId="23" fillId="0" borderId="0" xfId="0" applyFont="1"/>
    <xf numFmtId="0" fontId="52" fillId="0" borderId="14" xfId="16" applyBorder="1" applyAlignment="1" applyProtection="1"/>
    <xf numFmtId="0" fontId="24" fillId="0" borderId="14" xfId="16" applyFont="1" applyBorder="1" applyAlignment="1" applyProtection="1"/>
    <xf numFmtId="0" fontId="24" fillId="0" borderId="14" xfId="0" applyFont="1" applyBorder="1"/>
    <xf numFmtId="0" fontId="2" fillId="2" borderId="20" xfId="3" applyFont="1" applyFill="1" applyBorder="1" applyAlignment="1">
      <alignment horizontal="center"/>
    </xf>
    <xf numFmtId="0" fontId="2" fillId="2" borderId="11" xfId="3" applyFont="1" applyFill="1" applyBorder="1" applyAlignment="1">
      <alignment horizontal="center"/>
    </xf>
    <xf numFmtId="0" fontId="2" fillId="2" borderId="24" xfId="3" applyFont="1" applyFill="1" applyBorder="1"/>
    <xf numFmtId="0" fontId="2" fillId="2" borderId="9" xfId="3" applyFont="1" applyFill="1" applyBorder="1"/>
    <xf numFmtId="9" fontId="2" fillId="0" borderId="0" xfId="2" applyFont="1" applyFill="1" applyBorder="1"/>
    <xf numFmtId="164" fontId="14" fillId="0" borderId="0" xfId="3" applyNumberFormat="1" applyFont="1" applyFill="1"/>
    <xf numFmtId="0" fontId="14" fillId="0" borderId="0" xfId="3" applyFont="1" applyFill="1"/>
    <xf numFmtId="9" fontId="14" fillId="0" borderId="0" xfId="3" applyNumberFormat="1" applyFont="1" applyFill="1"/>
    <xf numFmtId="0" fontId="7" fillId="0" borderId="0" xfId="3" applyFont="1" applyFill="1" applyAlignment="1">
      <alignment horizontal="right"/>
    </xf>
    <xf numFmtId="1" fontId="7" fillId="0" borderId="0" xfId="3" applyNumberFormat="1" applyFont="1" applyFill="1" applyAlignment="1">
      <alignment horizontal="right"/>
    </xf>
    <xf numFmtId="0" fontId="7" fillId="0" borderId="0" xfId="3" applyFont="1" applyFill="1"/>
    <xf numFmtId="2" fontId="7" fillId="0" borderId="0" xfId="3" applyNumberFormat="1" applyFont="1" applyFill="1" applyAlignment="1">
      <alignment horizontal="right"/>
    </xf>
    <xf numFmtId="164" fontId="7" fillId="0" borderId="0" xfId="3" applyNumberFormat="1" applyFont="1" applyFill="1" applyAlignment="1">
      <alignment horizontal="right"/>
    </xf>
    <xf numFmtId="164" fontId="7" fillId="0" borderId="0" xfId="3" quotePrefix="1" applyNumberFormat="1" applyFont="1" applyFill="1"/>
    <xf numFmtId="0" fontId="7" fillId="0" borderId="0" xfId="3" quotePrefix="1" applyFont="1" applyFill="1" applyAlignment="1">
      <alignment horizontal="right"/>
    </xf>
    <xf numFmtId="167" fontId="7" fillId="0" borderId="0" xfId="4" applyNumberFormat="1" applyFont="1" applyFill="1" applyAlignment="1">
      <alignment horizontal="center"/>
    </xf>
    <xf numFmtId="164" fontId="7" fillId="0" borderId="0" xfId="4" applyNumberFormat="1" applyFont="1" applyFill="1" applyAlignment="1">
      <alignment horizontal="right"/>
    </xf>
    <xf numFmtId="2" fontId="4" fillId="0" borderId="14" xfId="8" applyNumberFormat="1" applyFont="1" applyFill="1" applyBorder="1" applyAlignment="1">
      <alignment horizontal="center"/>
    </xf>
    <xf numFmtId="0" fontId="3" fillId="2" borderId="25" xfId="3" applyFont="1" applyFill="1" applyBorder="1" applyAlignment="1">
      <alignment horizontal="right"/>
    </xf>
    <xf numFmtId="2" fontId="19" fillId="2" borderId="26" xfId="3" applyNumberFormat="1" applyFont="1" applyFill="1" applyBorder="1" applyAlignment="1">
      <alignment horizontal="center"/>
    </xf>
    <xf numFmtId="2" fontId="19" fillId="0" borderId="0" xfId="3" applyNumberFormat="1" applyFont="1" applyFill="1" applyBorder="1" applyAlignment="1">
      <alignment horizontal="center"/>
    </xf>
    <xf numFmtId="2" fontId="19" fillId="2" borderId="27" xfId="3" applyNumberFormat="1" applyFont="1" applyFill="1" applyBorder="1" applyAlignment="1">
      <alignment horizontal="center"/>
    </xf>
    <xf numFmtId="0" fontId="19" fillId="0" borderId="18" xfId="3" applyFont="1" applyBorder="1"/>
    <xf numFmtId="9" fontId="2" fillId="0" borderId="21" xfId="2" applyFont="1" applyFill="1" applyBorder="1" applyAlignment="1">
      <alignment horizontal="center"/>
    </xf>
    <xf numFmtId="0" fontId="19" fillId="0" borderId="15" xfId="3" applyFont="1" applyFill="1" applyBorder="1"/>
    <xf numFmtId="165" fontId="2" fillId="0" borderId="21" xfId="1" applyNumberFormat="1" applyFont="1" applyFill="1" applyBorder="1" applyAlignment="1">
      <alignment horizontal="center"/>
    </xf>
    <xf numFmtId="1" fontId="3" fillId="0" borderId="0" xfId="3" applyNumberFormat="1" applyFont="1" applyBorder="1"/>
    <xf numFmtId="0" fontId="3" fillId="0" borderId="0" xfId="3" applyFont="1" applyBorder="1" applyAlignment="1">
      <alignment horizontal="left"/>
    </xf>
    <xf numFmtId="165" fontId="2" fillId="3" borderId="0" xfId="6" applyNumberFormat="1" applyFont="1" applyFill="1" applyBorder="1" applyAlignment="1">
      <alignment horizontal="center"/>
    </xf>
    <xf numFmtId="0" fontId="2" fillId="0" borderId="0" xfId="0" applyFont="1" applyBorder="1" applyAlignment="1">
      <alignment horizontal="right"/>
    </xf>
    <xf numFmtId="1" fontId="7" fillId="3" borderId="0" xfId="0" applyNumberFormat="1" applyFont="1" applyFill="1" applyAlignment="1">
      <alignment horizontal="right"/>
    </xf>
    <xf numFmtId="164" fontId="2" fillId="0" borderId="0" xfId="3" applyNumberFormat="1" applyFont="1" applyFill="1" applyBorder="1"/>
    <xf numFmtId="0" fontId="25" fillId="0" borderId="0" xfId="3" applyFont="1" applyFill="1" applyBorder="1"/>
    <xf numFmtId="0" fontId="2" fillId="0" borderId="0" xfId="3" applyFont="1" applyBorder="1" applyAlignment="1">
      <alignment horizontal="centerContinuous" vertical="center"/>
    </xf>
    <xf numFmtId="164" fontId="6" fillId="0" borderId="0" xfId="3" applyNumberFormat="1" applyFont="1" applyFill="1" applyBorder="1" applyAlignment="1">
      <alignment horizontal="center"/>
    </xf>
    <xf numFmtId="0" fontId="4" fillId="0" borderId="0" xfId="3" applyFont="1" applyBorder="1" applyAlignment="1">
      <alignment horizontal="center"/>
    </xf>
    <xf numFmtId="1" fontId="2" fillId="0" borderId="18" xfId="1" applyNumberFormat="1" applyFont="1" applyFill="1" applyBorder="1" applyAlignment="1">
      <alignment horizontal="center"/>
    </xf>
    <xf numFmtId="2" fontId="4" fillId="0" borderId="18" xfId="8" applyNumberFormat="1" applyFont="1" applyFill="1" applyBorder="1" applyAlignment="1">
      <alignment horizontal="center"/>
    </xf>
    <xf numFmtId="0" fontId="2" fillId="0" borderId="0" xfId="3" applyFont="1" applyFill="1" applyBorder="1" applyAlignment="1">
      <alignment horizontal="center" textRotation="90"/>
    </xf>
    <xf numFmtId="0" fontId="2" fillId="0" borderId="0" xfId="3" applyFont="1" applyBorder="1" applyAlignment="1">
      <alignment horizontal="center"/>
    </xf>
    <xf numFmtId="2" fontId="2" fillId="0" borderId="0" xfId="3" applyNumberFormat="1" applyFont="1" applyFill="1" applyBorder="1" applyAlignment="1">
      <alignment horizontal="center"/>
    </xf>
    <xf numFmtId="9" fontId="2" fillId="0" borderId="0" xfId="2" applyFont="1" applyFill="1" applyBorder="1" applyAlignment="1">
      <alignment horizontal="center"/>
    </xf>
    <xf numFmtId="1" fontId="2" fillId="0" borderId="0" xfId="1" applyNumberFormat="1" applyFont="1" applyFill="1" applyBorder="1" applyAlignment="1">
      <alignment horizontal="center"/>
    </xf>
    <xf numFmtId="165" fontId="2" fillId="0" borderId="0" xfId="1" applyNumberFormat="1" applyFont="1" applyFill="1" applyBorder="1" applyAlignment="1">
      <alignment horizontal="center"/>
    </xf>
    <xf numFmtId="2" fontId="18" fillId="0" borderId="0" xfId="8" applyNumberFormat="1" applyFont="1" applyFill="1" applyBorder="1" applyAlignment="1">
      <alignment horizontal="center"/>
    </xf>
    <xf numFmtId="2" fontId="2" fillId="0" borderId="0" xfId="8" applyNumberFormat="1" applyFont="1" applyFill="1" applyBorder="1" applyAlignment="1">
      <alignment horizontal="center"/>
    </xf>
    <xf numFmtId="2" fontId="2" fillId="0" borderId="0" xfId="4" applyNumberFormat="1" applyFont="1" applyFill="1" applyBorder="1" applyAlignment="1">
      <alignment horizontal="center"/>
    </xf>
    <xf numFmtId="2" fontId="4" fillId="0" borderId="0" xfId="8" applyNumberFormat="1" applyFont="1" applyFill="1" applyBorder="1" applyAlignment="1">
      <alignment horizontal="center"/>
    </xf>
    <xf numFmtId="1" fontId="4" fillId="0" borderId="0" xfId="3" applyNumberFormat="1" applyFont="1" applyBorder="1" applyAlignment="1">
      <alignment horizontal="center"/>
    </xf>
    <xf numFmtId="0" fontId="5" fillId="4" borderId="10" xfId="3" applyFont="1" applyFill="1" applyBorder="1" applyAlignment="1"/>
    <xf numFmtId="0" fontId="5" fillId="4" borderId="24" xfId="3" applyFont="1" applyFill="1" applyBorder="1" applyAlignment="1"/>
    <xf numFmtId="0" fontId="5" fillId="4" borderId="9" xfId="3" applyFont="1" applyFill="1" applyBorder="1" applyAlignment="1"/>
    <xf numFmtId="0" fontId="5" fillId="0" borderId="0" xfId="3" applyFont="1" applyFill="1" applyBorder="1" applyAlignment="1"/>
    <xf numFmtId="0" fontId="4" fillId="0" borderId="0" xfId="3" applyFont="1" applyFill="1" applyBorder="1" applyAlignment="1">
      <alignment horizontal="center"/>
    </xf>
    <xf numFmtId="0" fontId="2" fillId="0" borderId="0" xfId="3" applyFont="1" applyFill="1" applyBorder="1" applyAlignment="1">
      <alignment horizontal="center"/>
    </xf>
    <xf numFmtId="164" fontId="6" fillId="0" borderId="15" xfId="3" applyNumberFormat="1" applyFont="1" applyFill="1" applyBorder="1" applyAlignment="1">
      <alignment horizontal="center"/>
    </xf>
    <xf numFmtId="164" fontId="6" fillId="0" borderId="28" xfId="3" applyNumberFormat="1" applyFont="1" applyFill="1" applyBorder="1" applyAlignment="1">
      <alignment horizontal="center"/>
    </xf>
    <xf numFmtId="0" fontId="4" fillId="0" borderId="14" xfId="3" applyFont="1" applyFill="1" applyBorder="1" applyAlignment="1">
      <alignment horizontal="center"/>
    </xf>
    <xf numFmtId="0" fontId="4" fillId="0" borderId="18" xfId="3" applyFont="1" applyFill="1" applyBorder="1" applyAlignment="1">
      <alignment horizontal="center"/>
    </xf>
    <xf numFmtId="0" fontId="19" fillId="0" borderId="14" xfId="3" applyFont="1" applyFill="1" applyBorder="1"/>
    <xf numFmtId="2" fontId="19" fillId="2" borderId="29" xfId="3" applyNumberFormat="1" applyFont="1" applyFill="1" applyBorder="1" applyAlignment="1">
      <alignment horizontal="center"/>
    </xf>
    <xf numFmtId="0" fontId="5" fillId="2" borderId="6" xfId="4" applyFont="1" applyFill="1" applyBorder="1" applyAlignment="1"/>
    <xf numFmtId="0" fontId="3" fillId="0" borderId="4" xfId="17" applyFont="1" applyFill="1" applyBorder="1"/>
    <xf numFmtId="0" fontId="2" fillId="0" borderId="0" xfId="17" applyFont="1" applyBorder="1"/>
    <xf numFmtId="0" fontId="2" fillId="0" borderId="31" xfId="17" applyFont="1" applyBorder="1"/>
    <xf numFmtId="0" fontId="2" fillId="0" borderId="4" xfId="0" applyFont="1" applyFill="1" applyBorder="1"/>
    <xf numFmtId="2" fontId="2" fillId="10" borderId="14" xfId="17" applyNumberFormat="1" applyFont="1" applyFill="1" applyBorder="1" applyAlignment="1">
      <alignment horizontal="center"/>
    </xf>
    <xf numFmtId="2" fontId="2" fillId="11" borderId="14" xfId="17" applyNumberFormat="1" applyFont="1" applyFill="1" applyBorder="1" applyAlignment="1">
      <alignment horizontal="center"/>
    </xf>
    <xf numFmtId="2" fontId="2" fillId="12" borderId="14" xfId="17" applyNumberFormat="1" applyFont="1" applyFill="1" applyBorder="1" applyAlignment="1">
      <alignment horizontal="center"/>
    </xf>
    <xf numFmtId="2" fontId="2" fillId="12" borderId="3" xfId="17" applyNumberFormat="1" applyFont="1" applyFill="1" applyBorder="1" applyAlignment="1">
      <alignment horizontal="center"/>
    </xf>
    <xf numFmtId="0" fontId="2" fillId="0" borderId="0" xfId="17" applyFont="1" applyFill="1" applyBorder="1"/>
    <xf numFmtId="2" fontId="2" fillId="0" borderId="0" xfId="17" applyNumberFormat="1" applyFont="1" applyFill="1" applyBorder="1" applyAlignment="1">
      <alignment horizontal="center"/>
    </xf>
    <xf numFmtId="0" fontId="2" fillId="0" borderId="31" xfId="17" applyFont="1" applyFill="1" applyBorder="1"/>
    <xf numFmtId="0" fontId="2" fillId="0" borderId="2" xfId="0" applyFont="1" applyFill="1" applyBorder="1"/>
    <xf numFmtId="2" fontId="2" fillId="10" borderId="13" xfId="17" applyNumberFormat="1" applyFont="1" applyFill="1" applyBorder="1" applyAlignment="1">
      <alignment horizontal="center"/>
    </xf>
    <xf numFmtId="2" fontId="2" fillId="11" borderId="13" xfId="17" applyNumberFormat="1" applyFont="1" applyFill="1" applyBorder="1" applyAlignment="1">
      <alignment horizontal="center"/>
    </xf>
    <xf numFmtId="2" fontId="2" fillId="12" borderId="13" xfId="17" applyNumberFormat="1" applyFont="1" applyFill="1" applyBorder="1" applyAlignment="1">
      <alignment horizontal="center"/>
    </xf>
    <xf numFmtId="2" fontId="2" fillId="12" borderId="1" xfId="17" applyNumberFormat="1" applyFont="1" applyFill="1" applyBorder="1" applyAlignment="1">
      <alignment horizontal="center"/>
    </xf>
    <xf numFmtId="2" fontId="19" fillId="2" borderId="32" xfId="3" applyNumberFormat="1" applyFont="1" applyFill="1" applyBorder="1" applyAlignment="1">
      <alignment horizontal="center"/>
    </xf>
    <xf numFmtId="0" fontId="5" fillId="0" borderId="18" xfId="17" applyFont="1" applyFill="1" applyBorder="1"/>
    <xf numFmtId="2" fontId="2" fillId="0" borderId="18" xfId="0" applyNumberFormat="1" applyFont="1" applyFill="1" applyBorder="1" applyAlignment="1">
      <alignment horizontal="center" vertical="center"/>
    </xf>
    <xf numFmtId="2" fontId="2" fillId="0" borderId="21" xfId="0" applyNumberFormat="1" applyFont="1" applyFill="1" applyBorder="1" applyAlignment="1">
      <alignment horizontal="center" vertical="center"/>
    </xf>
    <xf numFmtId="0" fontId="2" fillId="0" borderId="0" xfId="18" applyFont="1"/>
    <xf numFmtId="0" fontId="5" fillId="0" borderId="18" xfId="18" applyFont="1" applyFill="1" applyBorder="1"/>
    <xf numFmtId="2" fontId="2" fillId="0" borderId="18" xfId="8" applyNumberFormat="1" applyFont="1" applyBorder="1" applyAlignment="1">
      <alignment horizontal="center"/>
    </xf>
    <xf numFmtId="2" fontId="2" fillId="0" borderId="21" xfId="8" applyNumberFormat="1" applyFont="1" applyBorder="1" applyAlignment="1">
      <alignment horizontal="center"/>
    </xf>
    <xf numFmtId="2" fontId="2" fillId="0" borderId="21" xfId="8" applyNumberFormat="1" applyFont="1" applyBorder="1" applyAlignment="1" applyProtection="1">
      <alignment horizontal="center"/>
      <protection locked="0"/>
    </xf>
    <xf numFmtId="2" fontId="2" fillId="3" borderId="21" xfId="8" applyNumberFormat="1" applyFont="1" applyFill="1" applyBorder="1" applyAlignment="1">
      <alignment horizontal="center"/>
    </xf>
    <xf numFmtId="2" fontId="2" fillId="0" borderId="21" xfId="8" applyNumberFormat="1" applyFont="1" applyFill="1" applyBorder="1" applyAlignment="1">
      <alignment horizontal="center" vertical="center"/>
    </xf>
    <xf numFmtId="0" fontId="30" fillId="0" borderId="0" xfId="8" applyFont="1"/>
    <xf numFmtId="0" fontId="29" fillId="0" borderId="27" xfId="0" applyFont="1" applyBorder="1" applyAlignment="1">
      <alignment horizontal="center"/>
    </xf>
    <xf numFmtId="0" fontId="52" fillId="0" borderId="4" xfId="16" applyBorder="1" applyAlignment="1" applyProtection="1"/>
    <xf numFmtId="166" fontId="23" fillId="0" borderId="3" xfId="0" applyNumberFormat="1" applyFont="1" applyBorder="1"/>
    <xf numFmtId="0" fontId="24" fillId="0" borderId="4" xfId="16" applyFont="1" applyBorder="1" applyAlignment="1" applyProtection="1"/>
    <xf numFmtId="166" fontId="24" fillId="0" borderId="3" xfId="0" applyNumberFormat="1" applyFont="1" applyBorder="1"/>
    <xf numFmtId="0" fontId="24" fillId="0" borderId="4" xfId="0" applyFont="1" applyBorder="1"/>
    <xf numFmtId="0" fontId="24" fillId="0" borderId="2" xfId="0" applyFont="1" applyBorder="1"/>
    <xf numFmtId="0" fontId="24" fillId="0" borderId="13" xfId="0" applyFont="1" applyBorder="1"/>
    <xf numFmtId="166" fontId="24" fillId="0" borderId="1" xfId="0" applyNumberFormat="1" applyFont="1" applyBorder="1"/>
    <xf numFmtId="1" fontId="4" fillId="0" borderId="14" xfId="3" applyNumberFormat="1" applyFont="1" applyFill="1" applyBorder="1" applyAlignment="1">
      <alignment horizontal="center"/>
    </xf>
    <xf numFmtId="15" fontId="22" fillId="0" borderId="0" xfId="20" applyNumberFormat="1" applyFont="1" applyFill="1" applyBorder="1" applyAlignment="1">
      <alignment horizontal="left" vertical="center"/>
    </xf>
    <xf numFmtId="0" fontId="11" fillId="0" borderId="0" xfId="0" applyFont="1" applyFill="1" applyBorder="1" applyAlignment="1">
      <alignment vertical="center"/>
    </xf>
    <xf numFmtId="0" fontId="8" fillId="0" borderId="0" xfId="8" applyFont="1"/>
    <xf numFmtId="0" fontId="8" fillId="0" borderId="0" xfId="8" applyFont="1" applyAlignment="1">
      <alignment horizontal="right"/>
    </xf>
    <xf numFmtId="0" fontId="11" fillId="0" borderId="0" xfId="8" applyFont="1" applyAlignment="1">
      <alignment horizontal="right"/>
    </xf>
    <xf numFmtId="166" fontId="34" fillId="0" borderId="0" xfId="19" applyNumberFormat="1" applyFont="1" applyFill="1" applyBorder="1" applyAlignment="1" applyProtection="1">
      <protection locked="0"/>
    </xf>
    <xf numFmtId="166" fontId="11" fillId="0" borderId="0" xfId="17" applyNumberFormat="1" applyFont="1" applyFill="1" applyBorder="1" applyAlignment="1" applyProtection="1">
      <protection locked="0"/>
    </xf>
    <xf numFmtId="0" fontId="8" fillId="3" borderId="0" xfId="8" applyFont="1" applyFill="1"/>
    <xf numFmtId="0" fontId="35" fillId="0" borderId="0" xfId="19" applyFont="1" applyAlignment="1" applyProtection="1"/>
    <xf numFmtId="0" fontId="36" fillId="0" borderId="0" xfId="8" applyFont="1"/>
    <xf numFmtId="0" fontId="36" fillId="3" borderId="0" xfId="8" applyFont="1" applyFill="1"/>
    <xf numFmtId="0" fontId="37" fillId="3" borderId="0" xfId="8" applyFont="1" applyFill="1"/>
    <xf numFmtId="0" fontId="38" fillId="3" borderId="0" xfId="8" applyFont="1" applyFill="1" applyBorder="1" applyAlignment="1">
      <alignment horizontal="center" vertical="center" wrapText="1"/>
    </xf>
    <xf numFmtId="0" fontId="37" fillId="3" borderId="29" xfId="8" applyFont="1" applyFill="1" applyBorder="1" applyAlignment="1">
      <alignment horizontal="center"/>
    </xf>
    <xf numFmtId="0" fontId="37" fillId="3" borderId="29" xfId="8" applyFont="1" applyFill="1" applyBorder="1" applyAlignment="1">
      <alignment horizontal="center" wrapText="1"/>
    </xf>
    <xf numFmtId="0" fontId="19" fillId="0" borderId="29" xfId="8" applyFont="1" applyBorder="1" applyAlignment="1">
      <alignment horizontal="center"/>
    </xf>
    <xf numFmtId="0" fontId="36" fillId="0" borderId="36" xfId="8" applyFont="1" applyBorder="1" applyAlignment="1">
      <alignment horizontal="center"/>
    </xf>
    <xf numFmtId="0" fontId="36" fillId="0" borderId="38" xfId="8" applyFont="1" applyBorder="1" applyAlignment="1">
      <alignment horizontal="center"/>
    </xf>
    <xf numFmtId="0" fontId="36" fillId="0" borderId="39" xfId="8" applyFont="1" applyBorder="1" applyAlignment="1">
      <alignment horizontal="center"/>
    </xf>
    <xf numFmtId="0" fontId="36" fillId="0" borderId="37" xfId="8" applyFont="1" applyBorder="1" applyAlignment="1">
      <alignment horizontal="center"/>
    </xf>
    <xf numFmtId="0" fontId="37" fillId="0" borderId="0" xfId="8" applyFont="1" applyBorder="1" applyAlignment="1">
      <alignment horizontal="center" vertical="center" wrapText="1"/>
    </xf>
    <xf numFmtId="0" fontId="36" fillId="0" borderId="0" xfId="8" applyFont="1" applyBorder="1" applyAlignment="1"/>
    <xf numFmtId="0" fontId="36" fillId="0" borderId="32" xfId="8" applyFont="1" applyBorder="1" applyAlignment="1">
      <alignment horizontal="center"/>
    </xf>
    <xf numFmtId="0" fontId="24" fillId="0" borderId="0" xfId="8" applyFont="1"/>
    <xf numFmtId="0" fontId="36" fillId="0" borderId="32" xfId="8" applyFont="1" applyBorder="1" applyAlignment="1">
      <alignment horizontal="center" wrapText="1"/>
    </xf>
    <xf numFmtId="0" fontId="14" fillId="0" borderId="0" xfId="8" applyFont="1" applyBorder="1" applyAlignment="1">
      <alignment wrapText="1"/>
    </xf>
    <xf numFmtId="0" fontId="36" fillId="0" borderId="0" xfId="8" applyFont="1" applyBorder="1" applyAlignment="1">
      <alignment wrapText="1"/>
    </xf>
    <xf numFmtId="0" fontId="39" fillId="0" borderId="0" xfId="8" applyFont="1" applyBorder="1" applyAlignment="1">
      <alignment wrapText="1"/>
    </xf>
    <xf numFmtId="0" fontId="39" fillId="0" borderId="0" xfId="8" applyFont="1"/>
    <xf numFmtId="0" fontId="37" fillId="3" borderId="34" xfId="8" applyFont="1" applyFill="1" applyBorder="1" applyAlignment="1">
      <alignment horizontal="center"/>
    </xf>
    <xf numFmtId="0" fontId="36" fillId="0" borderId="32" xfId="8" applyFont="1" applyBorder="1" applyAlignment="1">
      <alignment horizontal="left" wrapText="1"/>
    </xf>
    <xf numFmtId="0" fontId="36" fillId="3" borderId="32" xfId="8" applyFont="1" applyFill="1" applyBorder="1" applyAlignment="1">
      <alignment horizontal="center"/>
    </xf>
    <xf numFmtId="0" fontId="36" fillId="0" borderId="32" xfId="8" applyFont="1" applyBorder="1"/>
    <xf numFmtId="0" fontId="36" fillId="0" borderId="38" xfId="8" applyFont="1" applyFill="1" applyBorder="1" applyAlignment="1">
      <alignment horizontal="left"/>
    </xf>
    <xf numFmtId="0" fontId="36" fillId="3" borderId="38" xfId="8" applyFont="1" applyFill="1" applyBorder="1" applyAlignment="1">
      <alignment horizontal="center"/>
    </xf>
    <xf numFmtId="0" fontId="37" fillId="3" borderId="0" xfId="8" applyFont="1" applyFill="1" applyBorder="1" applyAlignment="1">
      <alignment vertical="top" wrapText="1"/>
    </xf>
    <xf numFmtId="0" fontId="36" fillId="0" borderId="0" xfId="8" applyFont="1" applyBorder="1"/>
    <xf numFmtId="0" fontId="36" fillId="3" borderId="0" xfId="8" applyFont="1" applyFill="1" applyBorder="1" applyAlignment="1">
      <alignment horizontal="center"/>
    </xf>
    <xf numFmtId="0" fontId="36" fillId="0" borderId="0" xfId="8" applyFont="1" applyBorder="1" applyAlignment="1">
      <alignment horizontal="left" wrapText="1"/>
    </xf>
    <xf numFmtId="0" fontId="32" fillId="0" borderId="22" xfId="20" applyFont="1" applyBorder="1" applyAlignment="1">
      <alignment horizontal="center" vertical="center"/>
    </xf>
    <xf numFmtId="0" fontId="32" fillId="0" borderId="22" xfId="20" applyFont="1" applyBorder="1" applyAlignment="1">
      <alignment horizontal="center" vertical="center" wrapText="1"/>
    </xf>
    <xf numFmtId="0" fontId="41" fillId="0" borderId="0" xfId="0" applyFont="1"/>
    <xf numFmtId="0" fontId="42" fillId="0" borderId="0" xfId="0" applyFont="1"/>
    <xf numFmtId="0" fontId="41" fillId="0" borderId="0" xfId="0" applyFont="1" applyAlignment="1">
      <alignment horizontal="right"/>
    </xf>
    <xf numFmtId="0" fontId="32" fillId="0" borderId="14" xfId="4" applyFont="1" applyBorder="1" applyAlignment="1">
      <alignment horizontal="center" vertical="center" wrapText="1"/>
    </xf>
    <xf numFmtId="0" fontId="45" fillId="0" borderId="0" xfId="26" applyFont="1" applyFill="1" applyAlignment="1" applyProtection="1"/>
    <xf numFmtId="0" fontId="46" fillId="0" borderId="0" xfId="4" applyFont="1"/>
    <xf numFmtId="0" fontId="11" fillId="0" borderId="0" xfId="4" applyFont="1" applyAlignment="1">
      <alignment horizontal="right"/>
    </xf>
    <xf numFmtId="0" fontId="47" fillId="0" borderId="0" xfId="4" applyNumberFormat="1" applyFont="1" applyAlignment="1">
      <alignment horizontal="center"/>
    </xf>
    <xf numFmtId="0" fontId="46" fillId="0" borderId="0" xfId="4" applyNumberFormat="1" applyFont="1"/>
    <xf numFmtId="0" fontId="7" fillId="0" borderId="0" xfId="4" applyFont="1" applyAlignment="1">
      <alignment horizontal="right"/>
    </xf>
    <xf numFmtId="1" fontId="2" fillId="0" borderId="0" xfId="4" applyNumberFormat="1" applyFont="1" applyFill="1" applyAlignment="1">
      <alignment horizontal="left"/>
    </xf>
    <xf numFmtId="0" fontId="14" fillId="0" borderId="0" xfId="4" applyFont="1" applyAlignment="1">
      <alignment horizontal="center"/>
    </xf>
    <xf numFmtId="0" fontId="14" fillId="0" borderId="0" xfId="4" applyNumberFormat="1" applyFont="1" applyAlignment="1">
      <alignment horizontal="center"/>
    </xf>
    <xf numFmtId="0" fontId="7" fillId="0" borderId="0" xfId="4" applyNumberFormat="1" applyFont="1"/>
    <xf numFmtId="0" fontId="7" fillId="0" borderId="0" xfId="4" applyFont="1"/>
    <xf numFmtId="0" fontId="2" fillId="0" borderId="0" xfId="4" applyFont="1" applyAlignment="1">
      <alignment horizontal="right"/>
    </xf>
    <xf numFmtId="1" fontId="2" fillId="0" borderId="0" xfId="4" applyNumberFormat="1" applyFont="1" applyFill="1" applyAlignment="1">
      <alignment horizontal="center"/>
    </xf>
    <xf numFmtId="1" fontId="7" fillId="0" borderId="0" xfId="4" applyNumberFormat="1" applyFont="1" applyFill="1" applyAlignment="1">
      <alignment horizontal="left"/>
    </xf>
    <xf numFmtId="0" fontId="2" fillId="3" borderId="14" xfId="3" applyFont="1" applyFill="1" applyBorder="1" applyAlignment="1">
      <alignment horizontal="center"/>
    </xf>
    <xf numFmtId="0" fontId="14" fillId="0" borderId="0" xfId="4" applyFont="1"/>
    <xf numFmtId="0" fontId="14" fillId="0" borderId="0" xfId="4" applyNumberFormat="1" applyFont="1"/>
    <xf numFmtId="0" fontId="37" fillId="0" borderId="18" xfId="3" applyFont="1" applyFill="1" applyBorder="1"/>
    <xf numFmtId="0" fontId="2" fillId="0" borderId="14" xfId="4" applyFont="1" applyBorder="1" applyAlignment="1">
      <alignment horizontal="center"/>
    </xf>
    <xf numFmtId="0" fontId="14" fillId="0" borderId="0" xfId="4" applyFont="1" applyFill="1" applyAlignment="1">
      <alignment horizontal="center"/>
    </xf>
    <xf numFmtId="0" fontId="14" fillId="0" borderId="0" xfId="4" applyNumberFormat="1" applyFont="1" applyFill="1" applyAlignment="1">
      <alignment horizontal="center"/>
    </xf>
    <xf numFmtId="0" fontId="7" fillId="0" borderId="0" xfId="4" applyNumberFormat="1" applyFont="1" applyFill="1"/>
    <xf numFmtId="0" fontId="7" fillId="0" borderId="0" xfId="4" applyFont="1" applyFill="1"/>
    <xf numFmtId="0" fontId="48" fillId="0" borderId="0" xfId="4" applyFont="1" applyFill="1" applyAlignment="1">
      <alignment horizontal="center"/>
    </xf>
    <xf numFmtId="0" fontId="48" fillId="0" borderId="0" xfId="4" applyNumberFormat="1" applyFont="1" applyFill="1" applyAlignment="1">
      <alignment horizontal="center"/>
    </xf>
    <xf numFmtId="0" fontId="49" fillId="0" borderId="0" xfId="4" applyNumberFormat="1" applyFont="1" applyFill="1"/>
    <xf numFmtId="0" fontId="49" fillId="0" borderId="0" xfId="4" applyFont="1" applyFill="1"/>
    <xf numFmtId="2" fontId="7" fillId="0" borderId="14" xfId="0" applyNumberFormat="1" applyFont="1" applyBorder="1" applyAlignment="1">
      <alignment horizontal="center"/>
    </xf>
    <xf numFmtId="9" fontId="2" fillId="0" borderId="14" xfId="3" applyNumberFormat="1" applyFont="1" applyBorder="1"/>
    <xf numFmtId="0" fontId="2" fillId="0" borderId="18" xfId="3" applyFont="1" applyFill="1" applyBorder="1" applyAlignment="1">
      <alignment horizontal="right"/>
    </xf>
    <xf numFmtId="0" fontId="2" fillId="0" borderId="18" xfId="3" applyFont="1" applyFill="1" applyBorder="1"/>
    <xf numFmtId="0" fontId="7" fillId="0" borderId="14" xfId="4" applyFont="1" applyFill="1" applyBorder="1"/>
    <xf numFmtId="0" fontId="2" fillId="0" borderId="44" xfId="3" applyFont="1" applyBorder="1"/>
    <xf numFmtId="9" fontId="2" fillId="0" borderId="44" xfId="2" applyFont="1" applyFill="1" applyBorder="1" applyAlignment="1">
      <alignment horizontal="center"/>
    </xf>
    <xf numFmtId="2" fontId="2" fillId="0" borderId="44" xfId="3" applyNumberFormat="1" applyFont="1" applyFill="1" applyBorder="1" applyAlignment="1">
      <alignment horizontal="center"/>
    </xf>
    <xf numFmtId="2" fontId="2" fillId="3" borderId="44" xfId="8" applyNumberFormat="1" applyFont="1" applyFill="1" applyBorder="1" applyAlignment="1">
      <alignment horizontal="center"/>
    </xf>
    <xf numFmtId="2" fontId="2" fillId="0" borderId="14" xfId="8" applyNumberFormat="1" applyFont="1" applyFill="1" applyBorder="1" applyAlignment="1">
      <alignment horizontal="center"/>
    </xf>
    <xf numFmtId="1" fontId="4" fillId="0" borderId="14" xfId="3" applyNumberFormat="1" applyFont="1" applyBorder="1" applyAlignment="1">
      <alignment horizontal="center"/>
    </xf>
    <xf numFmtId="2" fontId="2" fillId="2" borderId="15" xfId="3" applyNumberFormat="1" applyFont="1" applyFill="1" applyBorder="1" applyAlignment="1">
      <alignment horizontal="center"/>
    </xf>
    <xf numFmtId="2" fontId="2" fillId="2" borderId="18" xfId="3" applyNumberFormat="1" applyFont="1" applyFill="1" applyBorder="1" applyAlignment="1">
      <alignment horizontal="center"/>
    </xf>
    <xf numFmtId="2" fontId="19" fillId="2" borderId="18" xfId="3" applyNumberFormat="1" applyFont="1" applyFill="1" applyBorder="1" applyAlignment="1">
      <alignment horizontal="center"/>
    </xf>
    <xf numFmtId="2" fontId="2" fillId="2" borderId="45" xfId="3" applyNumberFormat="1" applyFont="1" applyFill="1" applyBorder="1" applyAlignment="1">
      <alignment horizontal="center"/>
    </xf>
    <xf numFmtId="2" fontId="2" fillId="2" borderId="39" xfId="3" applyNumberFormat="1" applyFont="1" applyFill="1" applyBorder="1" applyAlignment="1">
      <alignment horizontal="center"/>
    </xf>
    <xf numFmtId="2" fontId="2" fillId="2" borderId="32" xfId="3" applyNumberFormat="1" applyFont="1" applyFill="1" applyBorder="1" applyAlignment="1">
      <alignment horizontal="center"/>
    </xf>
    <xf numFmtId="2" fontId="2" fillId="2" borderId="38" xfId="3" applyNumberFormat="1" applyFont="1" applyFill="1" applyBorder="1" applyAlignment="1">
      <alignment horizontal="center"/>
    </xf>
    <xf numFmtId="0" fontId="7" fillId="0" borderId="18" xfId="4" applyFont="1" applyFill="1" applyBorder="1"/>
    <xf numFmtId="0" fontId="14" fillId="0" borderId="21" xfId="4" applyFont="1" applyFill="1" applyBorder="1" applyAlignment="1">
      <alignment horizontal="center"/>
    </xf>
    <xf numFmtId="0" fontId="14" fillId="0" borderId="21" xfId="4" applyNumberFormat="1" applyFont="1" applyFill="1" applyBorder="1" applyAlignment="1">
      <alignment horizontal="center"/>
    </xf>
    <xf numFmtId="0" fontId="7" fillId="0" borderId="21" xfId="4" applyNumberFormat="1" applyFont="1" applyFill="1" applyBorder="1"/>
    <xf numFmtId="0" fontId="7" fillId="0" borderId="21" xfId="4" applyFont="1" applyFill="1" applyBorder="1"/>
    <xf numFmtId="0" fontId="7" fillId="0" borderId="44" xfId="4" applyFont="1" applyFill="1" applyBorder="1"/>
    <xf numFmtId="9" fontId="2" fillId="0" borderId="20" xfId="3" applyNumberFormat="1" applyFont="1" applyBorder="1"/>
    <xf numFmtId="15" fontId="24" fillId="0" borderId="14" xfId="0" applyNumberFormat="1" applyFont="1" applyBorder="1" applyAlignment="1">
      <alignment horizontal="center"/>
    </xf>
    <xf numFmtId="0" fontId="24" fillId="0" borderId="0" xfId="0" applyFont="1"/>
    <xf numFmtId="0" fontId="24" fillId="0" borderId="14" xfId="8" applyFont="1" applyBorder="1" applyAlignment="1">
      <alignment vertical="center"/>
    </xf>
    <xf numFmtId="0" fontId="24" fillId="0" borderId="14" xfId="8" applyFont="1" applyBorder="1"/>
    <xf numFmtId="0" fontId="52" fillId="0" borderId="0" xfId="16" applyAlignment="1" applyProtection="1"/>
    <xf numFmtId="9" fontId="2" fillId="0" borderId="14" xfId="2" applyNumberFormat="1" applyFont="1" applyBorder="1" applyAlignment="1">
      <alignment horizontal="center"/>
    </xf>
    <xf numFmtId="0" fontId="14" fillId="0" borderId="0" xfId="4" applyFont="1" applyBorder="1"/>
    <xf numFmtId="0" fontId="2" fillId="0" borderId="0" xfId="3" applyFont="1" applyFill="1" applyBorder="1" applyAlignment="1">
      <alignment horizontal="right"/>
    </xf>
    <xf numFmtId="0" fontId="24" fillId="0" borderId="14" xfId="8" applyFont="1" applyBorder="1" applyAlignment="1">
      <alignment vertical="center" wrapText="1"/>
    </xf>
    <xf numFmtId="0" fontId="23" fillId="0" borderId="14" xfId="22" applyFont="1" applyBorder="1"/>
    <xf numFmtId="0" fontId="23" fillId="13" borderId="29" xfId="22" applyFont="1" applyFill="1" applyBorder="1" applyAlignment="1">
      <alignment horizontal="left" vertical="top" wrapText="1"/>
    </xf>
    <xf numFmtId="0" fontId="23" fillId="0" borderId="29" xfId="22" applyFont="1" applyBorder="1" applyAlignment="1">
      <alignment horizontal="left" vertical="top" wrapText="1"/>
    </xf>
    <xf numFmtId="0" fontId="23" fillId="0" borderId="0" xfId="22" applyFont="1"/>
    <xf numFmtId="0" fontId="50" fillId="0" borderId="0" xfId="22" applyFont="1" applyAlignment="1">
      <alignment horizontal="center" vertical="center"/>
    </xf>
    <xf numFmtId="0" fontId="23" fillId="0" borderId="0" xfId="22" applyFont="1" applyAlignment="1">
      <alignment horizontal="centerContinuous"/>
    </xf>
    <xf numFmtId="0" fontId="23" fillId="0" borderId="0" xfId="22" applyFont="1" applyAlignment="1">
      <alignment horizontal="center"/>
    </xf>
    <xf numFmtId="0" fontId="23" fillId="0" borderId="0" xfId="22" applyFont="1" applyAlignment="1">
      <alignment horizontal="center" vertical="center"/>
    </xf>
    <xf numFmtId="0" fontId="23" fillId="0" borderId="42" xfId="22" applyFont="1" applyBorder="1" applyAlignment="1">
      <alignment wrapText="1"/>
    </xf>
    <xf numFmtId="0" fontId="23" fillId="0" borderId="42" xfId="22" applyFont="1" applyBorder="1"/>
    <xf numFmtId="0" fontId="23" fillId="0" borderId="42" xfId="22" applyFont="1" applyBorder="1" applyAlignment="1">
      <alignment horizontal="left" vertical="top" wrapText="1"/>
    </xf>
    <xf numFmtId="0" fontId="23" fillId="0" borderId="42" xfId="22" applyFont="1" applyBorder="1" applyAlignment="1">
      <alignment horizontal="center"/>
    </xf>
    <xf numFmtId="0" fontId="50" fillId="0" borderId="27" xfId="22" applyFont="1" applyBorder="1"/>
    <xf numFmtId="0" fontId="50" fillId="0" borderId="40" xfId="22" applyFont="1" applyBorder="1"/>
    <xf numFmtId="0" fontId="50" fillId="0" borderId="37" xfId="22" applyFont="1" applyBorder="1" applyAlignment="1">
      <alignment horizontal="center" vertical="center" wrapText="1"/>
    </xf>
    <xf numFmtId="0" fontId="50" fillId="0" borderId="29" xfId="22" applyFont="1" applyBorder="1" applyAlignment="1">
      <alignment horizontal="center"/>
    </xf>
    <xf numFmtId="0" fontId="23" fillId="0" borderId="0" xfId="22" applyFont="1" applyBorder="1"/>
    <xf numFmtId="0" fontId="50" fillId="13" borderId="27" xfId="22" applyFont="1" applyFill="1" applyBorder="1" applyAlignment="1">
      <alignment horizontal="center" vertical="center"/>
    </xf>
    <xf numFmtId="0" fontId="50" fillId="13" borderId="41" xfId="22" applyFont="1" applyFill="1" applyBorder="1" applyAlignment="1">
      <alignment horizontal="center" vertical="center" wrapText="1"/>
    </xf>
    <xf numFmtId="0" fontId="50" fillId="0" borderId="27" xfId="22" applyFont="1" applyBorder="1" applyAlignment="1">
      <alignment horizontal="center" vertical="center"/>
    </xf>
    <xf numFmtId="0" fontId="50" fillId="0" borderId="41" xfId="22" applyFont="1" applyBorder="1" applyAlignment="1">
      <alignment horizontal="center" vertical="center" wrapText="1"/>
    </xf>
    <xf numFmtId="0" fontId="50" fillId="0" borderId="37" xfId="22" applyFont="1" applyBorder="1" applyAlignment="1">
      <alignment horizontal="center" vertical="center"/>
    </xf>
    <xf numFmtId="0" fontId="50" fillId="13" borderId="43" xfId="22" applyFont="1" applyFill="1" applyBorder="1" applyAlignment="1">
      <alignment horizontal="center" vertical="center"/>
    </xf>
    <xf numFmtId="0" fontId="50" fillId="0" borderId="43" xfId="22" applyFont="1" applyBorder="1" applyAlignment="1">
      <alignment horizontal="center" vertical="center"/>
    </xf>
    <xf numFmtId="0" fontId="50" fillId="0" borderId="9" xfId="22" applyFont="1" applyBorder="1" applyAlignment="1">
      <alignment horizontal="center" vertical="center"/>
    </xf>
    <xf numFmtId="0" fontId="23" fillId="0" borderId="0" xfId="22" applyFont="1" applyBorder="1" applyAlignment="1">
      <alignment wrapText="1"/>
    </xf>
    <xf numFmtId="0" fontId="51" fillId="0" borderId="14" xfId="22" applyFont="1" applyBorder="1"/>
    <xf numFmtId="0" fontId="53" fillId="3" borderId="0" xfId="16" applyFont="1" applyFill="1" applyAlignment="1" applyProtection="1">
      <alignment horizontal="left"/>
    </xf>
    <xf numFmtId="0" fontId="53" fillId="0" borderId="0" xfId="16" applyFont="1" applyFill="1" applyAlignment="1" applyProtection="1"/>
    <xf numFmtId="0" fontId="53" fillId="0" borderId="0" xfId="16" applyFont="1" applyAlignment="1" applyProtection="1"/>
    <xf numFmtId="0" fontId="37" fillId="0" borderId="0" xfId="8" applyFont="1" applyAlignment="1">
      <alignment horizontal="center" vertical="center"/>
    </xf>
    <xf numFmtId="0" fontId="37" fillId="0" borderId="0" xfId="8" applyFont="1" applyAlignment="1">
      <alignment horizontal="center"/>
    </xf>
    <xf numFmtId="15" fontId="24" fillId="0" borderId="14" xfId="8" applyNumberFormat="1" applyFont="1" applyBorder="1"/>
    <xf numFmtId="0" fontId="24" fillId="0" borderId="14" xfId="8" applyFont="1" applyBorder="1" applyAlignment="1">
      <alignment horizontal="left"/>
    </xf>
    <xf numFmtId="9" fontId="2" fillId="0" borderId="14" xfId="11" applyFont="1" applyFill="1" applyBorder="1" applyAlignment="1">
      <alignment horizontal="center"/>
    </xf>
    <xf numFmtId="9" fontId="2" fillId="0" borderId="18" xfId="11" applyFont="1" applyFill="1" applyBorder="1" applyAlignment="1">
      <alignment horizontal="center"/>
    </xf>
    <xf numFmtId="0" fontId="2" fillId="0" borderId="14" xfId="17" applyFont="1" applyBorder="1" applyAlignment="1">
      <alignment horizontal="center"/>
    </xf>
    <xf numFmtId="0" fontId="2" fillId="0" borderId="14" xfId="17" applyFont="1" applyFill="1" applyBorder="1"/>
    <xf numFmtId="0" fontId="2" fillId="0" borderId="15" xfId="17" applyFont="1" applyFill="1" applyBorder="1"/>
    <xf numFmtId="0" fontId="22" fillId="0" borderId="0" xfId="25" applyFont="1" applyAlignment="1">
      <alignment horizontal="right"/>
    </xf>
    <xf numFmtId="0" fontId="29" fillId="0" borderId="24" xfId="3" applyFont="1" applyBorder="1" applyAlignment="1">
      <alignment horizontal="center"/>
    </xf>
    <xf numFmtId="0" fontId="24" fillId="0" borderId="45" xfId="0" applyFont="1" applyBorder="1"/>
    <xf numFmtId="0" fontId="8" fillId="0" borderId="0" xfId="3" applyFont="1" applyAlignment="1">
      <alignment horizontal="center"/>
    </xf>
    <xf numFmtId="2" fontId="0" fillId="0" borderId="20" xfId="0" applyNumberFormat="1" applyBorder="1"/>
    <xf numFmtId="2" fontId="0" fillId="0" borderId="14" xfId="0" applyNumberFormat="1" applyBorder="1"/>
    <xf numFmtId="0" fontId="14" fillId="0" borderId="0" xfId="4" applyFont="1" applyAlignment="1">
      <alignment horizontal="left"/>
    </xf>
    <xf numFmtId="2" fontId="7" fillId="14" borderId="14" xfId="0" applyNumberFormat="1" applyFont="1" applyFill="1" applyBorder="1" applyAlignment="1">
      <alignment horizontal="center"/>
    </xf>
    <xf numFmtId="0" fontId="2" fillId="0" borderId="14" xfId="17" applyFont="1" applyBorder="1"/>
    <xf numFmtId="0" fontId="54" fillId="2" borderId="14" xfId="0" applyFont="1" applyFill="1" applyBorder="1"/>
    <xf numFmtId="9" fontId="0" fillId="0" borderId="14" xfId="0" applyNumberFormat="1" applyBorder="1"/>
    <xf numFmtId="0" fontId="0" fillId="0" borderId="14" xfId="0" applyBorder="1"/>
    <xf numFmtId="0" fontId="55" fillId="0" borderId="0" xfId="4" applyFont="1"/>
    <xf numFmtId="0" fontId="55" fillId="0" borderId="14" xfId="4" applyFont="1" applyBorder="1"/>
    <xf numFmtId="9" fontId="2" fillId="0" borderId="14" xfId="2" applyFont="1" applyBorder="1"/>
    <xf numFmtId="9" fontId="2" fillId="0" borderId="14" xfId="2" applyFont="1" applyBorder="1" applyAlignment="1">
      <alignment horizontal="center"/>
    </xf>
    <xf numFmtId="2" fontId="2" fillId="0" borderId="14" xfId="0" applyNumberFormat="1" applyFont="1" applyBorder="1" applyAlignment="1">
      <alignment horizontal="center"/>
    </xf>
    <xf numFmtId="2" fontId="2" fillId="0" borderId="14" xfId="0" applyNumberFormat="1" applyFont="1" applyBorder="1" applyAlignment="1">
      <alignment horizontal="center" vertical="center"/>
    </xf>
    <xf numFmtId="0" fontId="52" fillId="0" borderId="0" xfId="16" applyFill="1" applyBorder="1" applyAlignment="1" applyProtection="1"/>
    <xf numFmtId="0" fontId="24" fillId="0" borderId="14" xfId="0" applyFont="1" applyBorder="1" applyAlignment="1">
      <alignment wrapText="1"/>
    </xf>
    <xf numFmtId="15" fontId="24" fillId="0" borderId="14" xfId="0" applyNumberFormat="1" applyFont="1" applyBorder="1" applyAlignment="1">
      <alignment horizontal="center" vertical="center"/>
    </xf>
    <xf numFmtId="0" fontId="24" fillId="0" borderId="14" xfId="0" applyFont="1" applyBorder="1" applyAlignment="1">
      <alignment vertical="center"/>
    </xf>
    <xf numFmtId="0" fontId="33" fillId="0" borderId="0" xfId="20" applyFont="1" applyAlignment="1">
      <alignment vertical="center"/>
    </xf>
    <xf numFmtId="0" fontId="22" fillId="0" borderId="0" xfId="20" applyFont="1" applyAlignment="1">
      <alignment horizontal="right" vertical="center"/>
    </xf>
    <xf numFmtId="15" fontId="22" fillId="0" borderId="0" xfId="20" applyNumberFormat="1" applyFont="1" applyAlignment="1">
      <alignment horizontal="left" vertical="center"/>
    </xf>
    <xf numFmtId="0" fontId="15" fillId="0" borderId="0" xfId="4" applyFont="1" applyAlignment="1">
      <alignment vertical="center"/>
    </xf>
    <xf numFmtId="0" fontId="32" fillId="0" borderId="22" xfId="4" applyFont="1" applyBorder="1" applyAlignment="1">
      <alignment horizontal="center" vertical="center" wrapText="1"/>
    </xf>
    <xf numFmtId="0" fontId="43" fillId="0" borderId="14" xfId="21" applyFont="1" applyBorder="1" applyAlignment="1">
      <alignment vertical="center"/>
    </xf>
    <xf numFmtId="0" fontId="43" fillId="0" borderId="14" xfId="20" applyFont="1" applyBorder="1" applyAlignment="1">
      <alignment horizontal="center" vertical="center"/>
    </xf>
    <xf numFmtId="0" fontId="43" fillId="15" borderId="14" xfId="20" applyFont="1" applyFill="1" applyBorder="1" applyAlignment="1">
      <alignment horizontal="center" vertical="center"/>
    </xf>
    <xf numFmtId="0" fontId="44" fillId="0" borderId="14" xfId="4" applyFont="1" applyBorder="1" applyAlignment="1">
      <alignment horizontal="center"/>
    </xf>
    <xf numFmtId="0" fontId="44" fillId="15" borderId="14" xfId="4" applyFont="1" applyFill="1" applyBorder="1" applyAlignment="1">
      <alignment horizontal="center"/>
    </xf>
    <xf numFmtId="0" fontId="43" fillId="0" borderId="14" xfId="20" applyFont="1" applyBorder="1" applyAlignment="1">
      <alignment horizontal="center" vertical="center" wrapText="1"/>
    </xf>
    <xf numFmtId="0" fontId="43" fillId="8" borderId="14" xfId="20" applyFont="1" applyFill="1" applyBorder="1" applyAlignment="1">
      <alignment horizontal="center" vertical="center"/>
    </xf>
    <xf numFmtId="0" fontId="44" fillId="8" borderId="14" xfId="4" applyFont="1" applyFill="1" applyBorder="1" applyAlignment="1">
      <alignment horizontal="center"/>
    </xf>
    <xf numFmtId="0" fontId="43" fillId="0" borderId="14" xfId="21" applyFont="1" applyBorder="1" applyAlignment="1">
      <alignment vertical="center" wrapText="1"/>
    </xf>
    <xf numFmtId="0" fontId="43" fillId="0" borderId="14" xfId="0" applyFont="1" applyBorder="1" applyAlignment="1">
      <alignment vertical="center"/>
    </xf>
    <xf numFmtId="0" fontId="43" fillId="0" borderId="14" xfId="0" applyFont="1" applyBorder="1" applyAlignment="1">
      <alignment horizontal="center" vertical="center"/>
    </xf>
    <xf numFmtId="0" fontId="42" fillId="8" borderId="14" xfId="0" applyFont="1" applyFill="1" applyBorder="1" applyAlignment="1">
      <alignment horizontal="center" vertical="center"/>
    </xf>
    <xf numFmtId="0" fontId="43" fillId="8" borderId="14" xfId="0" applyFont="1" applyFill="1" applyBorder="1" applyAlignment="1">
      <alignment horizontal="center" vertical="center"/>
    </xf>
    <xf numFmtId="0" fontId="42" fillId="0" borderId="14" xfId="0" applyFont="1" applyBorder="1" applyAlignment="1">
      <alignment horizontal="center" vertical="center"/>
    </xf>
    <xf numFmtId="0" fontId="2" fillId="0" borderId="18" xfId="17" applyFont="1" applyBorder="1"/>
    <xf numFmtId="0" fontId="45" fillId="0" borderId="0" xfId="27" applyFont="1" applyFill="1" applyAlignment="1" applyProtection="1"/>
    <xf numFmtId="0" fontId="47" fillId="0" borderId="0" xfId="4" applyFont="1" applyAlignment="1">
      <alignment horizontal="center"/>
    </xf>
    <xf numFmtId="0" fontId="8" fillId="0" borderId="0" xfId="4" applyFont="1" applyAlignment="1">
      <alignment horizontal="right"/>
    </xf>
    <xf numFmtId="0" fontId="8" fillId="0" borderId="0" xfId="4" applyFont="1" applyAlignment="1">
      <alignment horizontal="left"/>
    </xf>
    <xf numFmtId="0" fontId="19" fillId="0" borderId="0" xfId="4" applyFont="1" applyAlignment="1">
      <alignment horizontal="left"/>
    </xf>
    <xf numFmtId="0" fontId="2" fillId="0" borderId="0" xfId="4" applyFont="1" applyAlignment="1">
      <alignment horizontal="center"/>
    </xf>
    <xf numFmtId="0" fontId="56" fillId="0" borderId="0" xfId="27" applyFont="1" applyFill="1" applyAlignment="1" applyProtection="1"/>
    <xf numFmtId="0" fontId="2" fillId="0" borderId="0" xfId="4" applyFont="1"/>
    <xf numFmtId="0" fontId="19" fillId="0" borderId="0" xfId="4" applyFont="1" applyAlignment="1">
      <alignment horizontal="right"/>
    </xf>
    <xf numFmtId="166" fontId="19" fillId="0" borderId="0" xfId="4" applyNumberFormat="1" applyFont="1" applyAlignment="1">
      <alignment horizontal="left"/>
    </xf>
    <xf numFmtId="0" fontId="19" fillId="0" borderId="0" xfId="4" applyFont="1" applyAlignment="1">
      <alignment horizontal="center"/>
    </xf>
    <xf numFmtId="0" fontId="2" fillId="0" borderId="0" xfId="4" applyFont="1" applyAlignment="1">
      <alignment horizontal="left"/>
    </xf>
    <xf numFmtId="1" fontId="2" fillId="0" borderId="0" xfId="4" applyNumberFormat="1" applyFont="1" applyAlignment="1">
      <alignment horizontal="center"/>
    </xf>
    <xf numFmtId="1" fontId="2" fillId="0" borderId="0" xfId="4" applyNumberFormat="1" applyFont="1" applyAlignment="1">
      <alignment horizontal="left"/>
    </xf>
    <xf numFmtId="0" fontId="2" fillId="0" borderId="14" xfId="3" applyFont="1" applyBorder="1" applyAlignment="1">
      <alignment horizontal="right"/>
    </xf>
    <xf numFmtId="0" fontId="5" fillId="0" borderId="18" xfId="3" applyFont="1" applyBorder="1"/>
    <xf numFmtId="9" fontId="2" fillId="0" borderId="22" xfId="2" applyFont="1" applyFill="1" applyBorder="1" applyAlignment="1">
      <alignment horizontal="center"/>
    </xf>
    <xf numFmtId="0" fontId="2" fillId="0" borderId="18" xfId="3" applyFont="1" applyBorder="1" applyAlignment="1">
      <alignment horizontal="right"/>
    </xf>
    <xf numFmtId="2" fontId="2" fillId="0" borderId="14" xfId="28" applyNumberFormat="1" applyFont="1" applyBorder="1" applyAlignment="1">
      <alignment horizontal="center"/>
    </xf>
    <xf numFmtId="0" fontId="48" fillId="0" borderId="0" xfId="4" applyFont="1" applyAlignment="1">
      <alignment horizontal="center"/>
    </xf>
    <xf numFmtId="0" fontId="49" fillId="0" borderId="0" xfId="4" applyFont="1"/>
    <xf numFmtId="2" fontId="2" fillId="0" borderId="22" xfId="28" applyNumberFormat="1" applyFont="1" applyBorder="1" applyAlignment="1">
      <alignment horizontal="center"/>
    </xf>
    <xf numFmtId="0" fontId="3" fillId="0" borderId="18" xfId="17" applyFont="1" applyBorder="1"/>
    <xf numFmtId="0" fontId="2" fillId="0" borderId="18" xfId="8" applyFont="1" applyBorder="1"/>
    <xf numFmtId="0" fontId="2" fillId="0" borderId="20" xfId="4" applyFont="1" applyBorder="1" applyAlignment="1">
      <alignment horizontal="center"/>
    </xf>
    <xf numFmtId="0" fontId="36" fillId="0" borderId="18" xfId="17" applyFont="1" applyBorder="1"/>
    <xf numFmtId="1" fontId="2" fillId="0" borderId="14" xfId="4" applyNumberFormat="1" applyFont="1" applyBorder="1" applyAlignment="1">
      <alignment horizontal="center"/>
    </xf>
    <xf numFmtId="0" fontId="24" fillId="0" borderId="14" xfId="0" applyFont="1" applyBorder="1" applyAlignment="1">
      <alignment horizontal="left" vertical="center"/>
    </xf>
    <xf numFmtId="0" fontId="31" fillId="0" borderId="0" xfId="19" applyAlignment="1" applyProtection="1">
      <alignment horizontal="center" vertical="center"/>
    </xf>
    <xf numFmtId="0" fontId="44" fillId="0" borderId="0" xfId="20" applyFont="1"/>
    <xf numFmtId="0" fontId="44" fillId="0" borderId="0" xfId="20" applyFont="1" applyAlignment="1">
      <alignment horizontal="center" vertical="center" wrapText="1"/>
    </xf>
    <xf numFmtId="0" fontId="32" fillId="0" borderId="0" xfId="20" applyFont="1" applyAlignment="1">
      <alignment horizontal="center" vertical="center"/>
    </xf>
    <xf numFmtId="0" fontId="58" fillId="0" borderId="0" xfId="20" applyFont="1" applyAlignment="1">
      <alignment horizontal="center" vertical="center" wrapText="1"/>
    </xf>
    <xf numFmtId="0" fontId="59" fillId="0" borderId="22" xfId="21" applyFont="1" applyBorder="1" applyAlignment="1">
      <alignment horizontal="center" vertical="center" textRotation="180"/>
    </xf>
    <xf numFmtId="0" fontId="59" fillId="2" borderId="22" xfId="21" applyFont="1" applyFill="1" applyBorder="1" applyAlignment="1">
      <alignment horizontal="center" vertical="center" textRotation="180"/>
    </xf>
    <xf numFmtId="0" fontId="15" fillId="0" borderId="6" xfId="20" applyFont="1" applyBorder="1"/>
    <xf numFmtId="0" fontId="15" fillId="0" borderId="30" xfId="20" applyFont="1" applyBorder="1"/>
    <xf numFmtId="0" fontId="15" fillId="0" borderId="30" xfId="21" applyFont="1" applyBorder="1" applyAlignment="1">
      <alignment horizontal="center" vertical="center"/>
    </xf>
    <xf numFmtId="0" fontId="15" fillId="0" borderId="5" xfId="21" applyFont="1" applyBorder="1" applyAlignment="1">
      <alignment horizontal="center" vertical="center"/>
    </xf>
    <xf numFmtId="0" fontId="1" fillId="0" borderId="0" xfId="20"/>
    <xf numFmtId="0" fontId="15" fillId="0" borderId="4" xfId="20" applyFont="1" applyBorder="1"/>
    <xf numFmtId="0" fontId="15" fillId="0" borderId="14" xfId="20" applyFont="1" applyBorder="1"/>
    <xf numFmtId="0" fontId="15" fillId="0" borderId="14" xfId="21" applyFont="1" applyBorder="1" applyAlignment="1">
      <alignment horizontal="center" vertical="center"/>
    </xf>
    <xf numFmtId="0" fontId="15" fillId="0" borderId="3" xfId="21" applyFont="1" applyBorder="1" applyAlignment="1">
      <alignment horizontal="center" vertical="center"/>
    </xf>
    <xf numFmtId="0" fontId="61" fillId="15" borderId="0" xfId="20" applyFont="1" applyFill="1"/>
    <xf numFmtId="0" fontId="15" fillId="0" borderId="46" xfId="20" applyFont="1" applyBorder="1"/>
    <xf numFmtId="0" fontId="15" fillId="0" borderId="47" xfId="20" applyFont="1" applyBorder="1" applyAlignment="1">
      <alignment wrapText="1"/>
    </xf>
    <xf numFmtId="0" fontId="15" fillId="0" borderId="47" xfId="21" applyFont="1" applyBorder="1" applyAlignment="1">
      <alignment horizontal="center" vertical="center"/>
    </xf>
    <xf numFmtId="0" fontId="15" fillId="0" borderId="14" xfId="20" applyFont="1" applyBorder="1" applyAlignment="1">
      <alignment wrapText="1"/>
    </xf>
    <xf numFmtId="0" fontId="15" fillId="0" borderId="43" xfId="21" applyFont="1" applyBorder="1" applyAlignment="1">
      <alignment horizontal="center" vertical="center"/>
    </xf>
    <xf numFmtId="2" fontId="7" fillId="0" borderId="14" xfId="0" applyNumberFormat="1" applyFont="1" applyFill="1" applyBorder="1" applyAlignment="1">
      <alignment horizontal="center"/>
    </xf>
    <xf numFmtId="0" fontId="29" fillId="0" borderId="10" xfId="3" applyFont="1" applyBorder="1" applyAlignment="1">
      <alignment horizontal="center"/>
    </xf>
    <xf numFmtId="0" fontId="29" fillId="0" borderId="33" xfId="3" applyFont="1" applyBorder="1" applyAlignment="1">
      <alignment horizontal="center"/>
    </xf>
    <xf numFmtId="166" fontId="10" fillId="0" borderId="0" xfId="3" applyNumberFormat="1" applyFont="1" applyFill="1" applyBorder="1" applyAlignment="1" applyProtection="1">
      <alignment horizontal="left"/>
      <protection locked="0"/>
    </xf>
    <xf numFmtId="166" fontId="9" fillId="0" borderId="0" xfId="3" applyNumberFormat="1" applyFont="1" applyFill="1" applyBorder="1" applyAlignment="1">
      <alignment horizontal="left"/>
    </xf>
    <xf numFmtId="0" fontId="9" fillId="0" borderId="0" xfId="3" applyFont="1" applyFill="1" applyBorder="1" applyAlignment="1">
      <alignment horizontal="left"/>
    </xf>
    <xf numFmtId="0" fontId="2" fillId="0" borderId="17" xfId="3" applyFont="1" applyBorder="1" applyAlignment="1">
      <alignment horizontal="center"/>
    </xf>
    <xf numFmtId="0" fontId="2" fillId="0" borderId="23" xfId="3" applyFont="1" applyBorder="1" applyAlignment="1">
      <alignment horizontal="center"/>
    </xf>
    <xf numFmtId="0" fontId="2" fillId="0" borderId="16" xfId="3" applyFont="1" applyBorder="1" applyAlignment="1">
      <alignment horizontal="center"/>
    </xf>
    <xf numFmtId="0" fontId="11" fillId="3" borderId="0" xfId="3" applyFont="1" applyFill="1" applyBorder="1" applyAlignment="1">
      <alignment horizontal="left"/>
    </xf>
    <xf numFmtId="0" fontId="5" fillId="2" borderId="10" xfId="4" applyFont="1" applyFill="1" applyBorder="1" applyAlignment="1">
      <alignment horizontal="left"/>
    </xf>
    <xf numFmtId="0" fontId="5" fillId="2" borderId="9" xfId="4" applyFont="1" applyFill="1" applyBorder="1" applyAlignment="1">
      <alignment horizontal="left"/>
    </xf>
    <xf numFmtId="0" fontId="3" fillId="2" borderId="8" xfId="4" applyFont="1" applyFill="1" applyBorder="1" applyAlignment="1">
      <alignment horizontal="left"/>
    </xf>
    <xf numFmtId="0" fontId="3" fillId="2" borderId="7" xfId="4" applyFont="1" applyFill="1" applyBorder="1" applyAlignment="1">
      <alignment horizontal="left"/>
    </xf>
    <xf numFmtId="0" fontId="5" fillId="7" borderId="30" xfId="4" applyFont="1" applyFill="1" applyBorder="1" applyAlignment="1">
      <alignment horizontal="center"/>
    </xf>
    <xf numFmtId="0" fontId="5" fillId="8" borderId="30" xfId="4" applyFont="1" applyFill="1" applyBorder="1" applyAlignment="1">
      <alignment horizontal="center"/>
    </xf>
    <xf numFmtId="0" fontId="5" fillId="9" borderId="30" xfId="4" applyFont="1" applyFill="1" applyBorder="1" applyAlignment="1">
      <alignment horizontal="center"/>
    </xf>
    <xf numFmtId="0" fontId="5" fillId="9" borderId="5" xfId="4" applyFont="1" applyFill="1" applyBorder="1" applyAlignment="1">
      <alignment horizontal="center"/>
    </xf>
    <xf numFmtId="0" fontId="5" fillId="2" borderId="24" xfId="4" applyFont="1" applyFill="1" applyBorder="1" applyAlignment="1">
      <alignment horizontal="left"/>
    </xf>
    <xf numFmtId="0" fontId="11" fillId="0" borderId="0" xfId="4" applyFont="1" applyAlignment="1">
      <alignment horizontal="left"/>
    </xf>
    <xf numFmtId="166" fontId="11" fillId="0" borderId="0" xfId="4" applyNumberFormat="1" applyFont="1" applyAlignment="1">
      <alignment horizontal="left"/>
    </xf>
    <xf numFmtId="0" fontId="42" fillId="0" borderId="14" xfId="0" applyFont="1" applyBorder="1" applyAlignment="1">
      <alignment horizontal="center" vertical="center" textRotation="180"/>
    </xf>
    <xf numFmtId="0" fontId="57" fillId="0" borderId="28" xfId="20" applyFont="1" applyBorder="1" applyAlignment="1">
      <alignment horizontal="center"/>
    </xf>
    <xf numFmtId="0" fontId="60" fillId="16" borderId="34" xfId="21" applyFont="1" applyFill="1" applyBorder="1" applyAlignment="1">
      <alignment horizontal="center" vertical="center" textRotation="180"/>
    </xf>
    <xf numFmtId="0" fontId="60" fillId="16" borderId="35" xfId="21" applyFont="1" applyFill="1" applyBorder="1" applyAlignment="1">
      <alignment horizontal="center" vertical="center" textRotation="180"/>
    </xf>
    <xf numFmtId="0" fontId="60" fillId="16" borderId="37" xfId="21" applyFont="1" applyFill="1" applyBorder="1" applyAlignment="1">
      <alignment horizontal="center" vertical="center" textRotation="180"/>
    </xf>
    <xf numFmtId="0" fontId="37" fillId="0" borderId="34" xfId="8" applyFont="1" applyBorder="1" applyAlignment="1">
      <alignment horizontal="center" vertical="center"/>
    </xf>
    <xf numFmtId="0" fontId="37" fillId="0" borderId="37" xfId="8" applyFont="1" applyBorder="1" applyAlignment="1">
      <alignment horizontal="center" vertical="center"/>
    </xf>
    <xf numFmtId="0" fontId="38" fillId="3" borderId="40" xfId="8" applyFont="1" applyFill="1" applyBorder="1" applyAlignment="1">
      <alignment horizontal="center" vertical="center" wrapText="1"/>
    </xf>
    <xf numFmtId="0" fontId="39" fillId="0" borderId="41" xfId="8" applyFont="1" applyBorder="1" applyAlignment="1">
      <alignment horizontal="center" vertical="center" wrapText="1"/>
    </xf>
    <xf numFmtId="0" fontId="37" fillId="0" borderId="34" xfId="8" applyFont="1" applyFill="1" applyBorder="1" applyAlignment="1">
      <alignment horizontal="center" vertical="center" wrapText="1"/>
    </xf>
    <xf numFmtId="0" fontId="37" fillId="0" borderId="35" xfId="8" applyFont="1" applyFill="1" applyBorder="1" applyAlignment="1">
      <alignment horizontal="center" vertical="center" wrapText="1"/>
    </xf>
    <xf numFmtId="0" fontId="37" fillId="0" borderId="37" xfId="8" applyFont="1" applyFill="1" applyBorder="1" applyAlignment="1">
      <alignment horizontal="center" vertical="center" wrapText="1"/>
    </xf>
    <xf numFmtId="0" fontId="38" fillId="3" borderId="10" xfId="8" applyFont="1" applyFill="1" applyBorder="1" applyAlignment="1">
      <alignment horizontal="center" vertical="center" wrapText="1"/>
    </xf>
    <xf numFmtId="0" fontId="38" fillId="3" borderId="9" xfId="8" applyFont="1" applyFill="1" applyBorder="1" applyAlignment="1">
      <alignment horizontal="center" vertical="center" wrapText="1"/>
    </xf>
    <xf numFmtId="0" fontId="37" fillId="0" borderId="34" xfId="8" applyFont="1" applyBorder="1" applyAlignment="1">
      <alignment horizontal="center" vertical="center" wrapText="1"/>
    </xf>
    <xf numFmtId="0" fontId="37" fillId="0" borderId="35" xfId="8" applyFont="1" applyBorder="1" applyAlignment="1">
      <alignment horizontal="center" vertical="center" wrapText="1"/>
    </xf>
    <xf numFmtId="0" fontId="37" fillId="0" borderId="37" xfId="8" applyFont="1" applyBorder="1" applyAlignment="1">
      <alignment horizontal="center" vertical="center" wrapText="1"/>
    </xf>
    <xf numFmtId="0" fontId="37" fillId="3" borderId="34" xfId="8" applyFont="1" applyFill="1" applyBorder="1" applyAlignment="1">
      <alignment horizontal="center" vertical="center" wrapText="1"/>
    </xf>
    <xf numFmtId="0" fontId="37" fillId="3" borderId="37" xfId="8" applyFont="1" applyFill="1" applyBorder="1" applyAlignment="1">
      <alignment horizontal="center" vertical="center" wrapText="1"/>
    </xf>
  </cellXfs>
  <cellStyles count="29">
    <cellStyle name="Comma" xfId="1" builtinId="3"/>
    <cellStyle name="Comma 2" xfId="7" xr:uid="{00000000-0005-0000-0000-000001000000}"/>
    <cellStyle name="Comma 2 2" xfId="6" xr:uid="{00000000-0005-0000-0000-000002000000}"/>
    <cellStyle name="Comma 3" xfId="14" xr:uid="{00000000-0005-0000-0000-000003000000}"/>
    <cellStyle name="Comma 3 2" xfId="24" xr:uid="{00000000-0005-0000-0000-000004000000}"/>
    <cellStyle name="Hyperlink" xfId="16" builtinId="8" customBuiltin="1"/>
    <cellStyle name="Hyperlink 2" xfId="19" xr:uid="{00000000-0005-0000-0000-000006000000}"/>
    <cellStyle name="Hyperlink 3" xfId="26" xr:uid="{00000000-0005-0000-0000-000007000000}"/>
    <cellStyle name="Hyperlink 3 2" xfId="27" xr:uid="{00000000-0005-0000-0000-000008000000}"/>
    <cellStyle name="Normal" xfId="0" builtinId="0"/>
    <cellStyle name="Normal 2" xfId="8" xr:uid="{00000000-0005-0000-0000-00000A000000}"/>
    <cellStyle name="Normal 2 2" xfId="4" xr:uid="{00000000-0005-0000-0000-00000B000000}"/>
    <cellStyle name="Normal 3" xfId="3" xr:uid="{00000000-0005-0000-0000-00000C000000}"/>
    <cellStyle name="Normal 3 2" xfId="17" xr:uid="{00000000-0005-0000-0000-00000D000000}"/>
    <cellStyle name="Normal 3 2 2" xfId="18" xr:uid="{00000000-0005-0000-0000-00000E000000}"/>
    <cellStyle name="Normal 4" xfId="12" xr:uid="{00000000-0005-0000-0000-00000F000000}"/>
    <cellStyle name="Normal 4 3" xfId="21" xr:uid="{00000000-0005-0000-0000-000010000000}"/>
    <cellStyle name="Normal 5" xfId="15" xr:uid="{00000000-0005-0000-0000-000011000000}"/>
    <cellStyle name="Normal 5 2" xfId="25" xr:uid="{00000000-0005-0000-0000-000012000000}"/>
    <cellStyle name="Normal 5 2 2" xfId="28" xr:uid="{00000000-0005-0000-0000-000013000000}"/>
    <cellStyle name="Normal 6" xfId="22" xr:uid="{00000000-0005-0000-0000-000014000000}"/>
    <cellStyle name="Normal 7" xfId="20" xr:uid="{00000000-0005-0000-0000-000015000000}"/>
    <cellStyle name="Normal1" xfId="9" xr:uid="{00000000-0005-0000-0000-000016000000}"/>
    <cellStyle name="Normal2" xfId="10" xr:uid="{00000000-0005-0000-0000-000017000000}"/>
    <cellStyle name="Percent" xfId="2" builtinId="5"/>
    <cellStyle name="Percent 2" xfId="11" xr:uid="{00000000-0005-0000-0000-000019000000}"/>
    <cellStyle name="Percent 2 2" xfId="5" xr:uid="{00000000-0005-0000-0000-00001A000000}"/>
    <cellStyle name="Percent 3" xfId="13" xr:uid="{00000000-0005-0000-0000-00001B000000}"/>
    <cellStyle name="Percent 3 2" xfId="23" xr:uid="{00000000-0005-0000-0000-00001C000000}"/>
  </cellStyles>
  <dxfs count="38">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ont>
        <color rgb="FFFF7979"/>
      </font>
    </dxf>
    <dxf>
      <font>
        <color rgb="FFFF797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66FF66"/>
      </font>
    </dxf>
    <dxf>
      <font>
        <color rgb="FFFFFF99"/>
      </font>
    </dxf>
    <dxf>
      <fill>
        <patternFill>
          <bgColor rgb="FFFFFF00"/>
        </patternFill>
      </fill>
    </dxf>
    <dxf>
      <font>
        <color rgb="FFFF7979"/>
      </font>
    </dxf>
    <dxf>
      <font>
        <color rgb="FFFF797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66FF66"/>
      </font>
    </dxf>
    <dxf>
      <font>
        <color rgb="FFFFFF99"/>
      </font>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18</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0" y="1038225"/>
          <a:ext cx="0" cy="7067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cpf.navy.deps.mil/sites/cnap/N42/N422/Shared%20Documents/Forms/AllItems.aspx?RootFolder=%2Fsites%2Fcnap%2FN42%2FN422%2FShared%20Documents%2FN422C%20NAMP%2FMESMs%20and%20MC%2DFMC%20Goals&amp;FolderCTID=0x012000212BF25147D011499F67519C86833776&amp;View=%7B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E21"/>
  <sheetViews>
    <sheetView showGridLines="0" tabSelected="1" workbookViewId="0">
      <selection activeCell="A2" sqref="A2"/>
    </sheetView>
  </sheetViews>
  <sheetFormatPr defaultRowHeight="15" x14ac:dyDescent="0.25"/>
  <cols>
    <col min="1" max="1" width="57.85546875" customWidth="1"/>
    <col min="2" max="2" width="9.85546875" customWidth="1"/>
    <col min="3" max="3" width="5.5703125" bestFit="1" customWidth="1"/>
    <col min="4" max="4" width="11.42578125" customWidth="1"/>
  </cols>
  <sheetData>
    <row r="1" spans="1:5" s="61" customFormat="1" ht="16.5" thickBot="1" x14ac:dyDescent="0.3">
      <c r="A1" s="437" t="s">
        <v>0</v>
      </c>
      <c r="B1" s="438"/>
      <c r="C1" s="345" t="s">
        <v>1</v>
      </c>
      <c r="D1" s="189" t="s">
        <v>2</v>
      </c>
    </row>
    <row r="2" spans="1:5" s="95" customFormat="1" x14ac:dyDescent="0.25">
      <c r="A2" s="190" t="str">
        <f>'VFA 10 Plane F35'!A1</f>
        <v>Readiness Standards VFA F-35 10 Plane</v>
      </c>
      <c r="B2" s="96" t="s">
        <v>3</v>
      </c>
      <c r="C2" s="348">
        <f>'VFA 10 Plane F35'!AD1</f>
        <v>11.01</v>
      </c>
      <c r="D2" s="191">
        <f>'VFA 10 Plane F35'!M1</f>
        <v>44835</v>
      </c>
      <c r="E2" s="188" t="str">
        <f t="shared" ref="E2:E21" ca="1" si="0">IF(D2&gt;NOW()-90," ! NEW","")</f>
        <v/>
      </c>
    </row>
    <row r="3" spans="1:5" s="95" customFormat="1" x14ac:dyDescent="0.25">
      <c r="A3" s="190" t="str">
        <f>'VFA 14 Plane F35'!A1</f>
        <v>Readiness Standards VFA F-35 14 Plane</v>
      </c>
      <c r="B3" s="96" t="s">
        <v>3</v>
      </c>
      <c r="C3" s="349">
        <f>'VFA 14 Plane F35'!AD1</f>
        <v>11.02</v>
      </c>
      <c r="D3" s="191">
        <f>'VFA 14 Plane F35'!M1</f>
        <v>44835</v>
      </c>
      <c r="E3" s="188" t="str">
        <f t="shared" ca="1" si="0"/>
        <v/>
      </c>
    </row>
    <row r="4" spans="1:5" s="95" customFormat="1" x14ac:dyDescent="0.25">
      <c r="A4" s="190" t="str">
        <f>'VFA (F-35C FRS)'!A1:E1</f>
        <v>Readiness Standards VFA F-35C FRS</v>
      </c>
      <c r="B4" s="96"/>
      <c r="C4" s="349">
        <f>'VFA (F-35C FRS)'!AD1</f>
        <v>11.03</v>
      </c>
      <c r="D4" s="191">
        <f>'VFA (F-35C FRS)'!I1</f>
        <v>44835</v>
      </c>
      <c r="E4" s="188" t="str">
        <f t="shared" ca="1" si="0"/>
        <v/>
      </c>
    </row>
    <row r="5" spans="1:5" s="95" customFormat="1" x14ac:dyDescent="0.25">
      <c r="A5" s="190" t="str">
        <f>'VFA F-35C PDAA'!A1</f>
        <v>Readiness Standards VFA F-35C Test</v>
      </c>
      <c r="B5" s="96"/>
      <c r="C5" s="349">
        <f>'VFA F-35C PDAA'!AD1</f>
        <v>11.04</v>
      </c>
      <c r="D5" s="191">
        <f>'VFA F-35C PDAA'!H1</f>
        <v>44835</v>
      </c>
      <c r="E5" s="188" t="str">
        <f t="shared" ca="1" si="0"/>
        <v/>
      </c>
    </row>
    <row r="6" spans="1:5" s="95" customFormat="1" x14ac:dyDescent="0.25">
      <c r="A6" s="190" t="str">
        <f>'F-35C Matrix'!C2</f>
        <v>Navy F-35C TMS MET to Mission Map</v>
      </c>
      <c r="B6" s="96"/>
      <c r="C6" s="349"/>
      <c r="D6" s="191">
        <f>'F-35C Matrix'!B1</f>
        <v>43952</v>
      </c>
      <c r="E6" s="188" t="str">
        <f t="shared" ca="1" si="0"/>
        <v/>
      </c>
    </row>
    <row r="7" spans="1:5" s="95" customFormat="1" x14ac:dyDescent="0.25">
      <c r="A7" s="190" t="str">
        <f>'F-35C MIssion System Summary'!A1</f>
        <v>F-35C Mission System Utilization per Flight Task</v>
      </c>
      <c r="B7" s="96"/>
      <c r="C7" s="349"/>
      <c r="D7" s="191"/>
      <c r="E7" s="188" t="str">
        <f t="shared" ca="1" si="0"/>
        <v/>
      </c>
    </row>
    <row r="8" spans="1:5" s="95" customFormat="1" x14ac:dyDescent="0.25">
      <c r="A8" s="190" t="s">
        <v>4</v>
      </c>
      <c r="B8" s="97"/>
      <c r="C8" s="349"/>
      <c r="D8" s="193"/>
      <c r="E8" s="188" t="str">
        <f t="shared" ca="1" si="0"/>
        <v/>
      </c>
    </row>
    <row r="9" spans="1:5" s="95" customFormat="1" x14ac:dyDescent="0.25">
      <c r="A9" s="192"/>
      <c r="B9" s="97"/>
      <c r="C9" s="349"/>
      <c r="D9" s="193"/>
      <c r="E9" s="188" t="str">
        <f t="shared" ca="1" si="0"/>
        <v/>
      </c>
    </row>
    <row r="10" spans="1:5" s="95" customFormat="1" x14ac:dyDescent="0.25">
      <c r="A10" s="192"/>
      <c r="B10" s="97"/>
      <c r="C10" s="349"/>
      <c r="D10" s="193"/>
      <c r="E10" s="188" t="str">
        <f t="shared" ca="1" si="0"/>
        <v/>
      </c>
    </row>
    <row r="11" spans="1:5" s="95" customFormat="1" x14ac:dyDescent="0.25">
      <c r="A11" s="192"/>
      <c r="B11" s="97"/>
      <c r="C11" s="349"/>
      <c r="D11" s="193"/>
      <c r="E11" s="188" t="str">
        <f t="shared" ca="1" si="0"/>
        <v/>
      </c>
    </row>
    <row r="12" spans="1:5" s="95" customFormat="1" x14ac:dyDescent="0.25">
      <c r="A12" s="192"/>
      <c r="B12" s="97"/>
      <c r="C12" s="349"/>
      <c r="D12" s="193"/>
      <c r="E12" s="188" t="str">
        <f t="shared" ca="1" si="0"/>
        <v/>
      </c>
    </row>
    <row r="13" spans="1:5" s="95" customFormat="1" x14ac:dyDescent="0.25">
      <c r="A13" s="192"/>
      <c r="B13" s="97"/>
      <c r="C13" s="349"/>
      <c r="D13" s="193"/>
      <c r="E13" s="188" t="str">
        <f t="shared" ca="1" si="0"/>
        <v/>
      </c>
    </row>
    <row r="14" spans="1:5" s="95" customFormat="1" x14ac:dyDescent="0.25">
      <c r="A14" s="192"/>
      <c r="B14" s="97"/>
      <c r="C14" s="349"/>
      <c r="D14" s="193"/>
      <c r="E14" s="188" t="str">
        <f t="shared" ca="1" si="0"/>
        <v/>
      </c>
    </row>
    <row r="15" spans="1:5" s="95" customFormat="1" x14ac:dyDescent="0.25">
      <c r="A15" s="192"/>
      <c r="B15" s="97"/>
      <c r="C15" s="349"/>
      <c r="D15" s="193"/>
      <c r="E15" s="188" t="str">
        <f t="shared" ca="1" si="0"/>
        <v/>
      </c>
    </row>
    <row r="16" spans="1:5" s="95" customFormat="1" x14ac:dyDescent="0.25">
      <c r="A16" s="194"/>
      <c r="B16" s="98"/>
      <c r="C16" s="349"/>
      <c r="D16" s="193"/>
      <c r="E16" s="188" t="str">
        <f t="shared" ca="1" si="0"/>
        <v/>
      </c>
    </row>
    <row r="17" spans="1:5" s="95" customFormat="1" x14ac:dyDescent="0.25">
      <c r="A17" s="194"/>
      <c r="B17" s="98"/>
      <c r="C17" s="349"/>
      <c r="D17" s="193"/>
      <c r="E17" s="188" t="str">
        <f t="shared" ca="1" si="0"/>
        <v/>
      </c>
    </row>
    <row r="18" spans="1:5" s="95" customFormat="1" x14ac:dyDescent="0.25">
      <c r="A18" s="194"/>
      <c r="B18" s="98"/>
      <c r="C18" s="349"/>
      <c r="D18" s="193"/>
      <c r="E18" s="188" t="str">
        <f t="shared" ca="1" si="0"/>
        <v/>
      </c>
    </row>
    <row r="19" spans="1:5" s="95" customFormat="1" x14ac:dyDescent="0.25">
      <c r="A19" s="194"/>
      <c r="B19" s="98"/>
      <c r="C19" s="349"/>
      <c r="D19" s="193"/>
      <c r="E19" s="188" t="str">
        <f t="shared" ca="1" si="0"/>
        <v/>
      </c>
    </row>
    <row r="20" spans="1:5" s="95" customFormat="1" x14ac:dyDescent="0.25">
      <c r="A20" s="194"/>
      <c r="B20" s="98"/>
      <c r="C20" s="349"/>
      <c r="D20" s="193"/>
      <c r="E20" s="188" t="str">
        <f t="shared" ca="1" si="0"/>
        <v/>
      </c>
    </row>
    <row r="21" spans="1:5" s="95" customFormat="1" ht="15.75" thickBot="1" x14ac:dyDescent="0.3">
      <c r="A21" s="195"/>
      <c r="B21" s="196"/>
      <c r="C21" s="346"/>
      <c r="D21" s="197"/>
      <c r="E21" s="188" t="str">
        <f t="shared" ca="1" si="0"/>
        <v/>
      </c>
    </row>
  </sheetData>
  <mergeCells count="1">
    <mergeCell ref="A1:B1"/>
  </mergeCells>
  <hyperlinks>
    <hyperlink ref="A2" location="'VFA 10 Plane F35'!A1" display="'VFA 10 Plane F35'!A1" xr:uid="{00000000-0004-0000-0000-000000000000}"/>
    <hyperlink ref="A6" location="'F-35C Matrix'!A1" display="'F-35C Matrix'!A1" xr:uid="{00000000-0004-0000-0000-000001000000}"/>
    <hyperlink ref="B2" location="'VFA 10 Plane F35'!A120" display="AMFOM" xr:uid="{00000000-0004-0000-0000-000002000000}"/>
    <hyperlink ref="A4" location="'VFA (F-35C FRS)'!A1" display="'VFA (F-35C FRS)'!A1" xr:uid="{00000000-0004-0000-0000-000003000000}"/>
    <hyperlink ref="A8" location="Definitions!A1" display="Definitions" xr:uid="{00000000-0004-0000-0000-000004000000}"/>
    <hyperlink ref="A7" location="'F-35C MIssion System Summary'!A1" display="'F-35C MIssion System Summary'!A1" xr:uid="{00000000-0004-0000-0000-000005000000}"/>
    <hyperlink ref="A3" location="'VFA 14 Plane F35'!A1" display="'VFA 14 Plane F35'!A1" xr:uid="{00000000-0004-0000-0000-000006000000}"/>
    <hyperlink ref="B3" location="'VFA 14 Plane F35'!A120" display="AMFOM" xr:uid="{00000000-0004-0000-0000-000007000000}"/>
    <hyperlink ref="A5" location="'VFA F-35C PDAA'!A1" display="'VFA F-35C PDAA'!A1" xr:uid="{00000000-0004-0000-0000-000008000000}"/>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C25"/>
  <sheetViews>
    <sheetView showGridLines="0" workbookViewId="0">
      <selection activeCell="C17" sqref="C17"/>
    </sheetView>
  </sheetViews>
  <sheetFormatPr defaultColWidth="97.5703125" defaultRowHeight="12.75" x14ac:dyDescent="0.2"/>
  <cols>
    <col min="1" max="1" width="9.42578125" style="208" customWidth="1"/>
    <col min="2" max="2" width="33.5703125" style="208" bestFit="1" customWidth="1"/>
    <col min="3" max="3" width="97.42578125" style="208" customWidth="1"/>
    <col min="4" max="16384" width="97.5703125" style="208"/>
  </cols>
  <sheetData>
    <row r="1" spans="1:3" x14ac:dyDescent="0.2">
      <c r="A1" s="335" t="s">
        <v>5</v>
      </c>
      <c r="B1" s="335" t="s">
        <v>6</v>
      </c>
      <c r="C1" s="336" t="s">
        <v>7</v>
      </c>
    </row>
    <row r="2" spans="1:3" s="222" customFormat="1" ht="15" x14ac:dyDescent="0.25">
      <c r="A2" s="337">
        <v>43374</v>
      </c>
      <c r="B2" s="338" t="s">
        <v>8</v>
      </c>
      <c r="C2" s="299" t="s">
        <v>9</v>
      </c>
    </row>
    <row r="3" spans="1:3" s="297" customFormat="1" ht="15" x14ac:dyDescent="0.25">
      <c r="A3" s="296">
        <v>43435</v>
      </c>
      <c r="B3" s="298" t="s">
        <v>10</v>
      </c>
      <c r="C3" s="98" t="s">
        <v>11</v>
      </c>
    </row>
    <row r="4" spans="1:3" s="297" customFormat="1" ht="15" x14ac:dyDescent="0.25">
      <c r="A4" s="296">
        <v>43435</v>
      </c>
      <c r="B4" s="298" t="s">
        <v>10</v>
      </c>
      <c r="C4" s="98" t="s">
        <v>12</v>
      </c>
    </row>
    <row r="5" spans="1:3" s="222" customFormat="1" ht="15" x14ac:dyDescent="0.25">
      <c r="A5" s="296">
        <v>43435</v>
      </c>
      <c r="B5" s="298" t="s">
        <v>10</v>
      </c>
      <c r="C5" s="299" t="s">
        <v>13</v>
      </c>
    </row>
    <row r="6" spans="1:3" s="222" customFormat="1" ht="15" x14ac:dyDescent="0.25">
      <c r="A6" s="296">
        <v>43435</v>
      </c>
      <c r="B6" s="298" t="s">
        <v>10</v>
      </c>
      <c r="C6" s="299" t="s">
        <v>14</v>
      </c>
    </row>
    <row r="7" spans="1:3" s="222" customFormat="1" ht="15" x14ac:dyDescent="0.25">
      <c r="A7" s="296">
        <v>43435</v>
      </c>
      <c r="B7" s="298" t="s">
        <v>3</v>
      </c>
      <c r="C7" s="299" t="s">
        <v>15</v>
      </c>
    </row>
    <row r="8" spans="1:3" ht="15" x14ac:dyDescent="0.25">
      <c r="A8" s="296">
        <v>43952</v>
      </c>
      <c r="B8" s="298" t="s">
        <v>16</v>
      </c>
      <c r="C8" s="299" t="s">
        <v>17</v>
      </c>
    </row>
    <row r="9" spans="1:3" ht="15" x14ac:dyDescent="0.25">
      <c r="A9" s="296">
        <v>44075</v>
      </c>
      <c r="B9" s="298" t="s">
        <v>18</v>
      </c>
      <c r="C9" s="299" t="s">
        <v>19</v>
      </c>
    </row>
    <row r="10" spans="1:3" ht="15" x14ac:dyDescent="0.25">
      <c r="A10" s="296">
        <v>44228</v>
      </c>
      <c r="B10" s="298" t="s">
        <v>20</v>
      </c>
      <c r="C10" s="299" t="s">
        <v>21</v>
      </c>
    </row>
    <row r="11" spans="1:3" ht="15" x14ac:dyDescent="0.25">
      <c r="A11" s="296">
        <v>44470</v>
      </c>
      <c r="B11" s="298" t="s">
        <v>22</v>
      </c>
      <c r="C11" s="299" t="s">
        <v>23</v>
      </c>
    </row>
    <row r="12" spans="1:3" ht="15" x14ac:dyDescent="0.25">
      <c r="A12" s="296">
        <v>44835</v>
      </c>
      <c r="B12" s="98" t="s">
        <v>8</v>
      </c>
      <c r="C12" s="363" t="s">
        <v>24</v>
      </c>
    </row>
    <row r="13" spans="1:3" ht="15" x14ac:dyDescent="0.25">
      <c r="A13" s="364">
        <v>44835</v>
      </c>
      <c r="B13" s="365" t="s">
        <v>8</v>
      </c>
      <c r="C13" s="363" t="s">
        <v>25</v>
      </c>
    </row>
    <row r="14" spans="1:3" ht="15" x14ac:dyDescent="0.25">
      <c r="A14" s="364">
        <v>44835</v>
      </c>
      <c r="B14" s="413" t="s">
        <v>26</v>
      </c>
      <c r="C14" s="363" t="s">
        <v>27</v>
      </c>
    </row>
    <row r="15" spans="1:3" ht="15" x14ac:dyDescent="0.25">
      <c r="A15" s="296"/>
      <c r="B15" s="298"/>
      <c r="C15" s="299"/>
    </row>
    <row r="16" spans="1:3" ht="15" x14ac:dyDescent="0.25">
      <c r="A16" s="296"/>
      <c r="B16" s="298"/>
      <c r="C16" s="299"/>
    </row>
    <row r="17" spans="1:3" ht="15" x14ac:dyDescent="0.25">
      <c r="A17" s="296"/>
      <c r="B17" s="298"/>
      <c r="C17" s="299"/>
    </row>
    <row r="18" spans="1:3" ht="15" x14ac:dyDescent="0.25">
      <c r="A18" s="296"/>
      <c r="B18" s="298"/>
      <c r="C18" s="299"/>
    </row>
    <row r="19" spans="1:3" ht="15" x14ac:dyDescent="0.25">
      <c r="A19" s="296"/>
      <c r="B19" s="298"/>
      <c r="C19" s="299"/>
    </row>
    <row r="20" spans="1:3" ht="15" x14ac:dyDescent="0.25">
      <c r="A20" s="296"/>
      <c r="B20" s="298"/>
      <c r="C20" s="299"/>
    </row>
    <row r="21" spans="1:3" ht="15" x14ac:dyDescent="0.25">
      <c r="A21" s="296"/>
      <c r="B21" s="298"/>
      <c r="C21" s="299"/>
    </row>
    <row r="22" spans="1:3" ht="15" x14ac:dyDescent="0.25">
      <c r="A22" s="296"/>
      <c r="B22" s="298"/>
      <c r="C22" s="299"/>
    </row>
    <row r="23" spans="1:3" ht="15" x14ac:dyDescent="0.25">
      <c r="A23" s="296"/>
      <c r="B23" s="298"/>
      <c r="C23" s="299"/>
    </row>
    <row r="24" spans="1:3" ht="15" x14ac:dyDescent="0.25">
      <c r="A24" s="296"/>
      <c r="B24" s="298"/>
      <c r="C24" s="299"/>
    </row>
    <row r="25" spans="1:3" ht="15" x14ac:dyDescent="0.25">
      <c r="A25" s="296"/>
      <c r="B25" s="298"/>
      <c r="C25" s="299"/>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31"/>
  <sheetViews>
    <sheetView showGridLines="0" topLeftCell="A13" zoomScaleNormal="100" zoomScaleSheetLayoutView="100" workbookViewId="0">
      <selection sqref="A1:F1"/>
    </sheetView>
  </sheetViews>
  <sheetFormatPr defaultRowHeight="12" x14ac:dyDescent="0.2"/>
  <cols>
    <col min="1" max="1" width="55" style="1" customWidth="1"/>
    <col min="2" max="29" width="6.5703125" style="1" customWidth="1"/>
    <col min="30" max="30" width="8.85546875" style="1" customWidth="1"/>
    <col min="31" max="36" width="5.7109375" style="1" customWidth="1"/>
    <col min="37" max="16384" width="9.140625" style="1"/>
  </cols>
  <sheetData>
    <row r="1" spans="1:33" s="60" customFormat="1" ht="18.75" x14ac:dyDescent="0.3">
      <c r="A1" s="445" t="s">
        <v>28</v>
      </c>
      <c r="B1" s="445"/>
      <c r="C1" s="445"/>
      <c r="D1" s="445"/>
      <c r="E1" s="445"/>
      <c r="F1" s="445"/>
      <c r="G1" s="332" t="s">
        <v>29</v>
      </c>
      <c r="K1" s="91"/>
      <c r="L1" s="94" t="s">
        <v>30</v>
      </c>
      <c r="M1" s="439">
        <v>44835</v>
      </c>
      <c r="N1" s="440"/>
      <c r="O1" s="441"/>
      <c r="P1" s="441"/>
      <c r="V1" s="64"/>
      <c r="W1" s="65"/>
      <c r="X1" s="65"/>
      <c r="Y1" s="65"/>
      <c r="Z1" s="65"/>
      <c r="AA1" s="65"/>
      <c r="AB1" s="65"/>
      <c r="AC1" s="347" t="s">
        <v>31</v>
      </c>
      <c r="AD1" s="347">
        <v>11.01</v>
      </c>
    </row>
    <row r="2" spans="1:33" s="53" customFormat="1" ht="12.75" x14ac:dyDescent="0.2">
      <c r="A2" s="107" t="s">
        <v>32</v>
      </c>
      <c r="B2" s="108">
        <v>10</v>
      </c>
      <c r="C2" s="58"/>
      <c r="D2" s="58"/>
      <c r="E2" s="58"/>
      <c r="F2" s="58"/>
      <c r="G2" s="333" t="s">
        <v>3</v>
      </c>
      <c r="H2" s="109"/>
      <c r="N2" s="58"/>
      <c r="O2" s="58"/>
      <c r="P2" s="58"/>
      <c r="S2" s="57"/>
      <c r="U2" s="54"/>
      <c r="V2" s="66"/>
      <c r="W2" s="66"/>
      <c r="X2" s="66"/>
      <c r="Y2" s="66"/>
      <c r="Z2" s="67"/>
      <c r="AA2" s="131"/>
      <c r="AB2" s="66"/>
      <c r="AD2" s="66"/>
    </row>
    <row r="3" spans="1:33" s="53" customFormat="1" ht="11.25" x14ac:dyDescent="0.2">
      <c r="A3" s="107" t="s">
        <v>33</v>
      </c>
      <c r="B3" s="110">
        <v>1.6</v>
      </c>
      <c r="C3" s="58"/>
      <c r="D3" s="58"/>
      <c r="E3" s="109"/>
      <c r="F3" s="109"/>
      <c r="G3" s="109"/>
      <c r="H3" s="109"/>
      <c r="I3" s="54"/>
      <c r="J3" s="54"/>
      <c r="K3" s="54"/>
      <c r="N3" s="58"/>
      <c r="O3" s="58"/>
      <c r="P3" s="58"/>
      <c r="S3" s="59"/>
      <c r="T3" s="56"/>
      <c r="U3" s="54"/>
      <c r="V3" s="66"/>
      <c r="W3" s="68"/>
      <c r="X3" s="68"/>
      <c r="Y3" s="68"/>
      <c r="Z3" s="68"/>
      <c r="AA3" s="68"/>
      <c r="AB3" s="68"/>
      <c r="AD3" s="68"/>
    </row>
    <row r="4" spans="1:33" s="53" customFormat="1" ht="11.25" x14ac:dyDescent="0.2">
      <c r="A4" s="107" t="s">
        <v>34</v>
      </c>
      <c r="B4" s="108">
        <f>B2*B3</f>
        <v>16</v>
      </c>
      <c r="C4" s="58"/>
      <c r="D4" s="58"/>
      <c r="E4" s="58"/>
      <c r="F4" s="58"/>
      <c r="G4" s="58"/>
      <c r="H4" s="58"/>
      <c r="I4" s="54"/>
      <c r="J4" s="54"/>
      <c r="K4" s="54"/>
      <c r="N4" s="58"/>
      <c r="O4" s="58"/>
      <c r="P4" s="58"/>
      <c r="Q4" s="58"/>
      <c r="R4" s="54"/>
      <c r="S4" s="56"/>
      <c r="T4" s="62"/>
      <c r="U4" s="54"/>
      <c r="V4" s="66"/>
      <c r="W4" s="66"/>
      <c r="X4" s="66"/>
      <c r="Y4" s="66"/>
      <c r="Z4" s="69"/>
      <c r="AA4" s="70"/>
      <c r="AB4" s="66"/>
      <c r="AC4" s="68"/>
      <c r="AD4" s="66"/>
    </row>
    <row r="5" spans="1:33" s="53" customFormat="1" ht="11.25" x14ac:dyDescent="0.2">
      <c r="A5" s="107" t="s">
        <v>35</v>
      </c>
      <c r="B5" s="111">
        <v>1.8</v>
      </c>
      <c r="C5" s="112"/>
      <c r="D5" s="58"/>
      <c r="E5" s="58"/>
      <c r="F5" s="58"/>
      <c r="G5" s="58"/>
      <c r="H5" s="58"/>
      <c r="I5" s="54"/>
      <c r="J5" s="54"/>
      <c r="K5" s="54"/>
      <c r="N5" s="58"/>
      <c r="O5" s="58"/>
      <c r="P5" s="58"/>
      <c r="Q5" s="58"/>
      <c r="R5" s="54"/>
      <c r="S5" s="56"/>
      <c r="T5" s="54"/>
      <c r="U5" s="54"/>
      <c r="V5" s="66"/>
      <c r="W5" s="66"/>
      <c r="X5" s="66"/>
      <c r="Y5" s="66"/>
      <c r="Z5" s="71"/>
      <c r="AA5" s="72"/>
      <c r="AB5" s="73"/>
      <c r="AC5" s="68"/>
      <c r="AD5" s="73"/>
    </row>
    <row r="6" spans="1:33" s="53" customFormat="1" ht="11.25" x14ac:dyDescent="0.2">
      <c r="A6" s="113" t="s">
        <v>36</v>
      </c>
      <c r="B6" s="111">
        <v>26.5</v>
      </c>
      <c r="C6" s="112"/>
      <c r="D6" s="58"/>
      <c r="E6" s="58"/>
      <c r="F6" s="58"/>
      <c r="G6" s="58"/>
      <c r="H6" s="109"/>
      <c r="J6" s="54"/>
      <c r="L6" s="58"/>
      <c r="M6" s="58"/>
      <c r="N6" s="54"/>
      <c r="O6" s="58"/>
      <c r="P6" s="58"/>
      <c r="Q6" s="58"/>
      <c r="R6" s="54"/>
      <c r="S6" s="56"/>
      <c r="T6" s="54"/>
      <c r="U6" s="54"/>
      <c r="V6" s="66"/>
      <c r="W6" s="66"/>
      <c r="X6" s="66"/>
      <c r="Y6" s="66"/>
      <c r="Z6" s="71"/>
      <c r="AA6" s="73"/>
      <c r="AB6" s="73"/>
      <c r="AC6" s="68"/>
      <c r="AD6" s="73"/>
    </row>
    <row r="7" spans="1:33" s="53" customFormat="1" ht="11.25" x14ac:dyDescent="0.2">
      <c r="A7" s="107" t="s">
        <v>37</v>
      </c>
      <c r="B7" s="111">
        <f>B6*B4</f>
        <v>424</v>
      </c>
      <c r="C7" s="109"/>
      <c r="D7" s="109"/>
      <c r="E7" s="58"/>
      <c r="F7" s="58"/>
      <c r="G7" s="58"/>
      <c r="H7" s="58"/>
      <c r="I7" s="54"/>
      <c r="K7" s="54"/>
      <c r="L7" s="54"/>
      <c r="M7" s="54"/>
      <c r="N7" s="54"/>
      <c r="O7" s="54"/>
      <c r="P7" s="54"/>
      <c r="Q7" s="54"/>
      <c r="R7" s="54"/>
      <c r="S7" s="56"/>
      <c r="T7" s="54"/>
      <c r="U7" s="54"/>
      <c r="V7" s="66"/>
      <c r="W7" s="66"/>
      <c r="X7" s="66"/>
      <c r="Y7" s="66"/>
      <c r="Z7" s="71"/>
      <c r="AA7" s="73"/>
      <c r="AB7" s="73"/>
      <c r="AC7" s="68"/>
      <c r="AD7" s="73"/>
    </row>
    <row r="8" spans="1:33" s="53" customFormat="1" ht="11.25" x14ac:dyDescent="0.2">
      <c r="A8" s="107" t="s">
        <v>38</v>
      </c>
      <c r="B8" s="129">
        <f>B7/B5</f>
        <v>235.55555555555554</v>
      </c>
      <c r="C8" s="129"/>
      <c r="D8" s="109"/>
      <c r="E8" s="58"/>
      <c r="F8" s="58"/>
      <c r="G8" s="58"/>
      <c r="H8" s="58"/>
      <c r="I8" s="54"/>
      <c r="J8" s="54"/>
      <c r="K8" s="54"/>
      <c r="L8" s="54"/>
      <c r="M8" s="54"/>
      <c r="N8" s="54"/>
      <c r="O8" s="54"/>
      <c r="P8" s="54"/>
      <c r="Q8" s="54"/>
      <c r="R8" s="54"/>
      <c r="S8" s="54"/>
      <c r="T8" s="56"/>
      <c r="U8" s="54"/>
      <c r="V8" s="66"/>
      <c r="W8" s="66"/>
      <c r="X8" s="66"/>
      <c r="Y8" s="66"/>
      <c r="Z8" s="71"/>
      <c r="AA8" s="68"/>
      <c r="AB8" s="73"/>
      <c r="AC8" s="68"/>
      <c r="AD8" s="73"/>
    </row>
    <row r="9" spans="1:33" s="53" customFormat="1" ht="11.25" x14ac:dyDescent="0.2">
      <c r="A9" s="107" t="s">
        <v>39</v>
      </c>
      <c r="B9" s="111">
        <f>B4*C9</f>
        <v>16</v>
      </c>
      <c r="C9" s="58">
        <v>1</v>
      </c>
      <c r="D9" s="109" t="s">
        <v>40</v>
      </c>
      <c r="E9" s="58"/>
      <c r="F9" s="58"/>
      <c r="G9" s="111" t="s">
        <v>41</v>
      </c>
      <c r="H9" s="114">
        <v>0.4</v>
      </c>
      <c r="J9" s="54"/>
      <c r="K9" s="54"/>
      <c r="L9" s="54"/>
      <c r="M9" s="54"/>
      <c r="N9" s="54"/>
      <c r="O9" s="54"/>
      <c r="P9" s="54"/>
      <c r="Q9" s="54"/>
      <c r="R9" s="54"/>
      <c r="S9" s="54"/>
      <c r="T9" s="54"/>
      <c r="U9" s="54"/>
      <c r="V9" s="66"/>
      <c r="W9" s="66"/>
      <c r="X9" s="66"/>
      <c r="Y9" s="66"/>
      <c r="Z9" s="66"/>
      <c r="AA9" s="71"/>
      <c r="AB9" s="73"/>
      <c r="AC9" s="68"/>
      <c r="AD9" s="73"/>
    </row>
    <row r="10" spans="1:33" s="53" customFormat="1" ht="11.25" x14ac:dyDescent="0.2">
      <c r="A10" s="107" t="s">
        <v>42</v>
      </c>
      <c r="B10" s="111">
        <f>C10*B4</f>
        <v>16</v>
      </c>
      <c r="C10" s="58">
        <v>1</v>
      </c>
      <c r="D10" s="109" t="s">
        <v>40</v>
      </c>
      <c r="E10" s="58"/>
      <c r="F10" s="58"/>
      <c r="G10" s="115" t="s">
        <v>43</v>
      </c>
      <c r="H10" s="114">
        <v>0.28899999999999998</v>
      </c>
      <c r="J10" s="54"/>
      <c r="K10" s="54"/>
      <c r="L10" s="54"/>
      <c r="M10" s="54"/>
      <c r="N10" s="54"/>
      <c r="O10" s="54"/>
      <c r="P10" s="54"/>
      <c r="Q10" s="54"/>
      <c r="R10" s="54"/>
      <c r="S10" s="54"/>
      <c r="T10" s="54"/>
      <c r="U10" s="54"/>
      <c r="V10" s="54"/>
      <c r="W10" s="54"/>
      <c r="X10" s="54"/>
      <c r="Y10" s="54"/>
      <c r="Z10" s="54"/>
      <c r="AA10" s="54"/>
      <c r="AB10" s="54"/>
      <c r="AD10" s="54"/>
    </row>
    <row r="11" spans="1:33" s="53" customFormat="1" ht="11.25" x14ac:dyDescent="0.2">
      <c r="A11" s="57" t="s">
        <v>44</v>
      </c>
      <c r="B11" s="53">
        <v>0</v>
      </c>
      <c r="C11" s="58">
        <v>2</v>
      </c>
      <c r="D11" s="55" t="s">
        <v>40</v>
      </c>
      <c r="E11" s="58"/>
      <c r="F11" s="58"/>
      <c r="G11" s="115"/>
      <c r="H11" s="114"/>
      <c r="J11" s="54"/>
      <c r="K11" s="54"/>
      <c r="L11" s="54"/>
      <c r="M11" s="54"/>
      <c r="N11" s="54"/>
      <c r="O11" s="54"/>
      <c r="P11" s="54"/>
      <c r="Q11" s="54"/>
      <c r="R11" s="54"/>
      <c r="S11" s="54"/>
      <c r="T11" s="54"/>
      <c r="U11" s="54"/>
      <c r="V11" s="54"/>
      <c r="W11" s="54"/>
      <c r="X11" s="54"/>
      <c r="Y11" s="54"/>
      <c r="Z11" s="54"/>
      <c r="AA11" s="54"/>
      <c r="AB11" s="54"/>
      <c r="AD11" s="54"/>
    </row>
    <row r="12" spans="1:33" s="53" customFormat="1" ht="11.25" x14ac:dyDescent="0.2">
      <c r="A12" s="105"/>
      <c r="B12" s="105"/>
      <c r="C12" s="106"/>
      <c r="D12" s="106"/>
      <c r="E12" s="106"/>
      <c r="F12" s="104"/>
      <c r="G12" s="104"/>
      <c r="H12" s="104"/>
      <c r="I12" s="54"/>
      <c r="J12" s="54"/>
      <c r="K12" s="54"/>
      <c r="L12" s="54"/>
      <c r="M12" s="54"/>
      <c r="N12" s="54"/>
      <c r="O12" s="54"/>
      <c r="P12" s="54"/>
      <c r="Q12" s="54"/>
      <c r="R12" s="54"/>
      <c r="S12" s="54"/>
      <c r="T12" s="54"/>
      <c r="U12" s="54"/>
      <c r="V12" s="54"/>
      <c r="W12" s="54"/>
      <c r="X12" s="54"/>
      <c r="Y12" s="54"/>
      <c r="Z12" s="54"/>
      <c r="AA12" s="54"/>
      <c r="AB12" s="54"/>
      <c r="AD12" s="54"/>
    </row>
    <row r="13" spans="1:33" s="50" customFormat="1" ht="59.25" x14ac:dyDescent="0.2">
      <c r="A13" s="35" t="s">
        <v>45</v>
      </c>
      <c r="B13" s="52" t="s">
        <v>46</v>
      </c>
      <c r="C13" s="52" t="s">
        <v>46</v>
      </c>
      <c r="D13" s="52" t="s">
        <v>46</v>
      </c>
      <c r="E13" s="52" t="s">
        <v>46</v>
      </c>
      <c r="F13" s="52" t="s">
        <v>46</v>
      </c>
      <c r="G13" s="52" t="s">
        <v>46</v>
      </c>
      <c r="H13" s="52" t="s">
        <v>47</v>
      </c>
      <c r="I13" s="52" t="s">
        <v>47</v>
      </c>
      <c r="J13" s="52" t="s">
        <v>47</v>
      </c>
      <c r="K13" s="52" t="s">
        <v>48</v>
      </c>
      <c r="L13" s="52" t="s">
        <v>49</v>
      </c>
      <c r="M13" s="52" t="s">
        <v>49</v>
      </c>
      <c r="N13" s="52" t="s">
        <v>50</v>
      </c>
      <c r="O13" s="52" t="s">
        <v>50</v>
      </c>
      <c r="P13" s="52" t="s">
        <v>50</v>
      </c>
      <c r="Q13" s="52" t="s">
        <v>50</v>
      </c>
      <c r="R13" s="52" t="s">
        <v>51</v>
      </c>
      <c r="S13" s="52" t="s">
        <v>51</v>
      </c>
      <c r="T13" s="52" t="s">
        <v>51</v>
      </c>
      <c r="U13" s="52" t="s">
        <v>51</v>
      </c>
      <c r="V13" s="52" t="s">
        <v>51</v>
      </c>
      <c r="W13" s="52" t="s">
        <v>51</v>
      </c>
      <c r="X13" s="52" t="s">
        <v>50</v>
      </c>
      <c r="Y13" s="52" t="s">
        <v>50</v>
      </c>
      <c r="Z13" s="52" t="s">
        <v>50</v>
      </c>
      <c r="AA13" s="52" t="s">
        <v>50</v>
      </c>
      <c r="AB13" s="77" t="s">
        <v>50</v>
      </c>
      <c r="AC13" s="51" t="s">
        <v>52</v>
      </c>
      <c r="AD13" s="137"/>
      <c r="AE13" s="74"/>
      <c r="AF13" s="74"/>
      <c r="AG13" s="74"/>
    </row>
    <row r="14" spans="1:33" s="48" customFormat="1" x14ac:dyDescent="0.2">
      <c r="A14" s="35" t="s">
        <v>53</v>
      </c>
      <c r="B14" s="49" t="s">
        <v>54</v>
      </c>
      <c r="C14" s="49" t="s">
        <v>55</v>
      </c>
      <c r="D14" s="49" t="s">
        <v>56</v>
      </c>
      <c r="E14" s="49" t="s">
        <v>57</v>
      </c>
      <c r="F14" s="49" t="s">
        <v>58</v>
      </c>
      <c r="G14" s="49" t="s">
        <v>59</v>
      </c>
      <c r="H14" s="341" t="s">
        <v>60</v>
      </c>
      <c r="I14" s="341" t="s">
        <v>61</v>
      </c>
      <c r="J14" s="341" t="s">
        <v>62</v>
      </c>
      <c r="K14" s="341" t="s">
        <v>63</v>
      </c>
      <c r="L14" s="341" t="s">
        <v>64</v>
      </c>
      <c r="M14" s="341" t="s">
        <v>65</v>
      </c>
      <c r="N14" s="49" t="s">
        <v>66</v>
      </c>
      <c r="O14" s="49" t="s">
        <v>67</v>
      </c>
      <c r="P14" s="49" t="s">
        <v>68</v>
      </c>
      <c r="Q14" s="49" t="s">
        <v>69</v>
      </c>
      <c r="R14" s="49" t="s">
        <v>70</v>
      </c>
      <c r="S14" s="49" t="s">
        <v>71</v>
      </c>
      <c r="T14" s="49" t="s">
        <v>72</v>
      </c>
      <c r="U14" s="49" t="s">
        <v>73</v>
      </c>
      <c r="V14" s="49" t="s">
        <v>74</v>
      </c>
      <c r="W14" s="49" t="s">
        <v>75</v>
      </c>
      <c r="X14" s="49" t="s">
        <v>76</v>
      </c>
      <c r="Y14" s="49" t="s">
        <v>77</v>
      </c>
      <c r="Z14" s="49" t="s">
        <v>78</v>
      </c>
      <c r="AA14" s="49" t="s">
        <v>79</v>
      </c>
      <c r="AB14" s="78" t="s">
        <v>80</v>
      </c>
      <c r="AC14" s="49" t="s">
        <v>81</v>
      </c>
      <c r="AD14" s="138"/>
      <c r="AE14" s="12"/>
      <c r="AF14" s="12"/>
      <c r="AG14" s="12"/>
    </row>
    <row r="15" spans="1:33" s="48" customFormat="1" x14ac:dyDescent="0.2">
      <c r="A15" s="35" t="s">
        <v>82</v>
      </c>
      <c r="B15" s="49">
        <v>1</v>
      </c>
      <c r="C15" s="49">
        <v>2</v>
      </c>
      <c r="D15" s="49">
        <v>3</v>
      </c>
      <c r="E15" s="49">
        <v>4</v>
      </c>
      <c r="F15" s="49">
        <v>5</v>
      </c>
      <c r="G15" s="49">
        <v>6</v>
      </c>
      <c r="H15" s="49">
        <v>7</v>
      </c>
      <c r="I15" s="49">
        <v>8</v>
      </c>
      <c r="J15" s="49">
        <v>9</v>
      </c>
      <c r="K15" s="49">
        <v>10</v>
      </c>
      <c r="L15" s="49">
        <v>11</v>
      </c>
      <c r="M15" s="49">
        <v>12</v>
      </c>
      <c r="N15" s="49">
        <v>13</v>
      </c>
      <c r="O15" s="49">
        <v>14</v>
      </c>
      <c r="P15" s="49">
        <v>15</v>
      </c>
      <c r="Q15" s="49">
        <v>16</v>
      </c>
      <c r="R15" s="49">
        <v>17</v>
      </c>
      <c r="S15" s="49">
        <v>18</v>
      </c>
      <c r="T15" s="49">
        <v>19</v>
      </c>
      <c r="U15" s="49">
        <v>20</v>
      </c>
      <c r="V15" s="49">
        <v>21</v>
      </c>
      <c r="W15" s="49">
        <v>22</v>
      </c>
      <c r="X15" s="49">
        <v>23</v>
      </c>
      <c r="Y15" s="49">
        <v>24</v>
      </c>
      <c r="Z15" s="49">
        <v>25</v>
      </c>
      <c r="AA15" s="49">
        <v>26</v>
      </c>
      <c r="AB15" s="78">
        <v>27</v>
      </c>
      <c r="AC15" s="49">
        <v>28</v>
      </c>
      <c r="AD15" s="138"/>
      <c r="AE15" s="12"/>
      <c r="AF15" s="12"/>
      <c r="AG15" s="12"/>
    </row>
    <row r="16" spans="1:33" x14ac:dyDescent="0.2">
      <c r="A16" s="35" t="s">
        <v>83</v>
      </c>
      <c r="B16" s="442" t="s">
        <v>84</v>
      </c>
      <c r="C16" s="443"/>
      <c r="D16" s="443"/>
      <c r="E16" s="444"/>
      <c r="F16" s="442" t="s">
        <v>85</v>
      </c>
      <c r="G16" s="443"/>
      <c r="H16" s="443"/>
      <c r="I16" s="443"/>
      <c r="J16" s="444"/>
      <c r="K16" s="442" t="s">
        <v>86</v>
      </c>
      <c r="L16" s="443"/>
      <c r="M16" s="444"/>
      <c r="N16" s="442" t="s">
        <v>50</v>
      </c>
      <c r="O16" s="443"/>
      <c r="P16" s="443"/>
      <c r="Q16" s="444"/>
      <c r="R16" s="442" t="s">
        <v>87</v>
      </c>
      <c r="S16" s="443"/>
      <c r="T16" s="443"/>
      <c r="U16" s="443"/>
      <c r="V16" s="443"/>
      <c r="W16" s="444"/>
      <c r="X16" s="442" t="s">
        <v>88</v>
      </c>
      <c r="Y16" s="443"/>
      <c r="Z16" s="443"/>
      <c r="AA16" s="443"/>
      <c r="AB16" s="443"/>
      <c r="AC16" s="49" t="s">
        <v>89</v>
      </c>
      <c r="AD16" s="138"/>
      <c r="AE16" s="19"/>
      <c r="AF16" s="19"/>
      <c r="AG16" s="19"/>
    </row>
    <row r="17" spans="1:34" ht="12.75" x14ac:dyDescent="0.2">
      <c r="A17" s="90" t="s">
        <v>90</v>
      </c>
      <c r="B17" s="47"/>
      <c r="C17" s="45"/>
      <c r="D17" s="45"/>
      <c r="E17" s="45"/>
      <c r="F17" s="45"/>
      <c r="G17" s="45"/>
      <c r="H17" s="45"/>
      <c r="I17" s="45"/>
      <c r="J17" s="45"/>
      <c r="K17" s="45"/>
      <c r="L17" s="45"/>
      <c r="M17" s="45"/>
      <c r="N17" s="45"/>
      <c r="O17" s="45"/>
      <c r="P17" s="45"/>
      <c r="Q17" s="45"/>
      <c r="R17" s="45"/>
      <c r="S17" s="45"/>
      <c r="T17" s="46"/>
      <c r="U17" s="45"/>
      <c r="V17" s="45"/>
      <c r="W17" s="45"/>
      <c r="X17" s="45"/>
      <c r="Y17" s="45"/>
      <c r="Z17" s="45"/>
      <c r="AA17" s="45"/>
      <c r="AB17" s="45"/>
      <c r="AC17" s="276"/>
      <c r="AD17" s="132"/>
      <c r="AE17" s="19"/>
      <c r="AF17" s="19"/>
      <c r="AG17" s="19"/>
    </row>
    <row r="18" spans="1:34" s="81" customFormat="1" x14ac:dyDescent="0.2">
      <c r="A18" s="88" t="s">
        <v>91</v>
      </c>
      <c r="B18" s="32">
        <f>IF(B73&lt;80,B74,MIN(B73,80))</f>
        <v>0</v>
      </c>
      <c r="C18" s="32">
        <f t="shared" ref="C18:AB18" si="0">IF(C73&lt;80,C74,MIN(C73,80))</f>
        <v>0</v>
      </c>
      <c r="D18" s="32">
        <f t="shared" si="0"/>
        <v>0</v>
      </c>
      <c r="E18" s="32">
        <f t="shared" si="0"/>
        <v>0</v>
      </c>
      <c r="F18" s="32">
        <f t="shared" si="0"/>
        <v>0</v>
      </c>
      <c r="G18" s="32">
        <f t="shared" si="0"/>
        <v>4.9431538436497391E-2</v>
      </c>
      <c r="H18" s="32">
        <f t="shared" si="0"/>
        <v>2.0494315384364974</v>
      </c>
      <c r="I18" s="32">
        <f t="shared" si="0"/>
        <v>2.0494315384364974</v>
      </c>
      <c r="J18" s="32">
        <f t="shared" si="0"/>
        <v>12.049431538436497</v>
      </c>
      <c r="K18" s="32">
        <f t="shared" si="0"/>
        <v>37.049431538436494</v>
      </c>
      <c r="L18" s="32">
        <f t="shared" si="0"/>
        <v>80</v>
      </c>
      <c r="M18" s="32">
        <f t="shared" si="0"/>
        <v>80</v>
      </c>
      <c r="N18" s="32">
        <f t="shared" si="0"/>
        <v>80</v>
      </c>
      <c r="O18" s="32">
        <f t="shared" si="0"/>
        <v>80</v>
      </c>
      <c r="P18" s="32">
        <f t="shared" si="0"/>
        <v>80</v>
      </c>
      <c r="Q18" s="32">
        <f t="shared" si="0"/>
        <v>80</v>
      </c>
      <c r="R18" s="32">
        <f t="shared" si="0"/>
        <v>80</v>
      </c>
      <c r="S18" s="32">
        <f t="shared" si="0"/>
        <v>80</v>
      </c>
      <c r="T18" s="32">
        <f t="shared" si="0"/>
        <v>80</v>
      </c>
      <c r="U18" s="32">
        <f t="shared" si="0"/>
        <v>80</v>
      </c>
      <c r="V18" s="32">
        <f t="shared" si="0"/>
        <v>80</v>
      </c>
      <c r="W18" s="32">
        <f t="shared" si="0"/>
        <v>80</v>
      </c>
      <c r="X18" s="32">
        <f t="shared" si="0"/>
        <v>80</v>
      </c>
      <c r="Y18" s="32">
        <f t="shared" si="0"/>
        <v>80</v>
      </c>
      <c r="Z18" s="32">
        <f t="shared" si="0"/>
        <v>80</v>
      </c>
      <c r="AA18" s="32">
        <f t="shared" si="0"/>
        <v>80</v>
      </c>
      <c r="AB18" s="31">
        <f t="shared" si="0"/>
        <v>80</v>
      </c>
      <c r="AC18" s="32">
        <f>IF(AC73&lt;80,AC74,MIN(AC73,80))</f>
        <v>0</v>
      </c>
      <c r="AD18" s="139"/>
      <c r="AE18" s="63"/>
      <c r="AF18" s="92"/>
      <c r="AG18" s="68"/>
    </row>
    <row r="19" spans="1:34" x14ac:dyDescent="0.2">
      <c r="A19" s="24" t="s">
        <v>92</v>
      </c>
      <c r="B19" s="339">
        <v>0.55000000000000004</v>
      </c>
      <c r="C19" s="339">
        <v>0.55000000000000004</v>
      </c>
      <c r="D19" s="339">
        <v>0.55000000000000004</v>
      </c>
      <c r="E19" s="339">
        <v>0.55000000000000004</v>
      </c>
      <c r="F19" s="339">
        <v>0.55000000000000004</v>
      </c>
      <c r="G19" s="339">
        <v>0.55000000000000004</v>
      </c>
      <c r="H19" s="339">
        <v>0.55000000000000004</v>
      </c>
      <c r="I19" s="339">
        <v>0.6</v>
      </c>
      <c r="J19" s="339">
        <v>0.65</v>
      </c>
      <c r="K19" s="339">
        <v>0.7</v>
      </c>
      <c r="L19" s="339">
        <v>0.7</v>
      </c>
      <c r="M19" s="339">
        <v>0.7</v>
      </c>
      <c r="N19" s="339">
        <v>0.7</v>
      </c>
      <c r="O19" s="339">
        <v>0.7</v>
      </c>
      <c r="P19" s="339">
        <v>0.7</v>
      </c>
      <c r="Q19" s="339">
        <v>0.4</v>
      </c>
      <c r="R19" s="339">
        <v>0.8</v>
      </c>
      <c r="S19" s="339">
        <v>0.8</v>
      </c>
      <c r="T19" s="339">
        <v>0.8</v>
      </c>
      <c r="U19" s="339">
        <v>0.8</v>
      </c>
      <c r="V19" s="339">
        <v>0.8</v>
      </c>
      <c r="W19" s="339">
        <v>0.7</v>
      </c>
      <c r="X19" s="339">
        <v>0.4</v>
      </c>
      <c r="Y19" s="339">
        <v>0.6</v>
      </c>
      <c r="Z19" s="339">
        <v>0.6</v>
      </c>
      <c r="AA19" s="339">
        <v>0.6</v>
      </c>
      <c r="AB19" s="340">
        <v>0.6</v>
      </c>
      <c r="AC19" s="339">
        <v>0.4</v>
      </c>
      <c r="AD19" s="140"/>
      <c r="AE19" s="13"/>
      <c r="AF19" s="12"/>
      <c r="AG19" s="11"/>
    </row>
    <row r="20" spans="1:34" x14ac:dyDescent="0.2">
      <c r="A20" s="121" t="s">
        <v>93</v>
      </c>
      <c r="B20" s="36"/>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277"/>
      <c r="AD20" s="140"/>
      <c r="AE20" s="13"/>
      <c r="AF20" s="12"/>
      <c r="AG20" s="11"/>
    </row>
    <row r="21" spans="1:34" s="43" customFormat="1" x14ac:dyDescent="0.2">
      <c r="A21" s="33" t="s">
        <v>94</v>
      </c>
      <c r="B21" s="44">
        <f>B19*$B$8</f>
        <v>129.55555555555557</v>
      </c>
      <c r="C21" s="44">
        <f t="shared" ref="C21:AB21" si="1">C19*$B$8</f>
        <v>129.55555555555557</v>
      </c>
      <c r="D21" s="44">
        <f t="shared" si="1"/>
        <v>129.55555555555557</v>
      </c>
      <c r="E21" s="44">
        <f t="shared" si="1"/>
        <v>129.55555555555557</v>
      </c>
      <c r="F21" s="44">
        <f t="shared" si="1"/>
        <v>129.55555555555557</v>
      </c>
      <c r="G21" s="44">
        <f t="shared" si="1"/>
        <v>129.55555555555557</v>
      </c>
      <c r="H21" s="44">
        <f t="shared" si="1"/>
        <v>129.55555555555557</v>
      </c>
      <c r="I21" s="44">
        <f t="shared" si="1"/>
        <v>141.33333333333331</v>
      </c>
      <c r="J21" s="44">
        <f t="shared" si="1"/>
        <v>153.11111111111111</v>
      </c>
      <c r="K21" s="44">
        <f t="shared" si="1"/>
        <v>164.88888888888886</v>
      </c>
      <c r="L21" s="44">
        <f t="shared" si="1"/>
        <v>164.88888888888886</v>
      </c>
      <c r="M21" s="44">
        <f t="shared" si="1"/>
        <v>164.88888888888886</v>
      </c>
      <c r="N21" s="44">
        <f t="shared" si="1"/>
        <v>164.88888888888886</v>
      </c>
      <c r="O21" s="44">
        <f t="shared" si="1"/>
        <v>164.88888888888886</v>
      </c>
      <c r="P21" s="44">
        <f t="shared" si="1"/>
        <v>164.88888888888886</v>
      </c>
      <c r="Q21" s="44">
        <f t="shared" si="1"/>
        <v>94.222222222222229</v>
      </c>
      <c r="R21" s="44">
        <f t="shared" si="1"/>
        <v>188.44444444444446</v>
      </c>
      <c r="S21" s="44">
        <f t="shared" si="1"/>
        <v>188.44444444444446</v>
      </c>
      <c r="T21" s="44">
        <f t="shared" si="1"/>
        <v>188.44444444444446</v>
      </c>
      <c r="U21" s="44">
        <f t="shared" si="1"/>
        <v>188.44444444444446</v>
      </c>
      <c r="V21" s="44">
        <f t="shared" si="1"/>
        <v>188.44444444444446</v>
      </c>
      <c r="W21" s="44">
        <f t="shared" si="1"/>
        <v>164.88888888888886</v>
      </c>
      <c r="X21" s="44">
        <f t="shared" si="1"/>
        <v>94.222222222222229</v>
      </c>
      <c r="Y21" s="44">
        <f t="shared" si="1"/>
        <v>141.33333333333331</v>
      </c>
      <c r="Z21" s="44">
        <f t="shared" si="1"/>
        <v>141.33333333333331</v>
      </c>
      <c r="AA21" s="44">
        <f t="shared" si="1"/>
        <v>141.33333333333331</v>
      </c>
      <c r="AB21" s="135">
        <f t="shared" si="1"/>
        <v>141.33333333333331</v>
      </c>
      <c r="AC21" s="44">
        <f>AC19*$B$8</f>
        <v>94.222222222222229</v>
      </c>
      <c r="AD21" s="141"/>
      <c r="AE21" s="34"/>
      <c r="AF21" s="34"/>
      <c r="AG21" s="34"/>
    </row>
    <row r="22" spans="1:34" s="10" customFormat="1" x14ac:dyDescent="0.2">
      <c r="A22" s="33" t="s">
        <v>95</v>
      </c>
      <c r="B22" s="42">
        <f>B21*$B$5</f>
        <v>233.20000000000005</v>
      </c>
      <c r="C22" s="42">
        <f t="shared" ref="C22:AB22" si="2">C21*$B$5</f>
        <v>233.20000000000005</v>
      </c>
      <c r="D22" s="42">
        <f t="shared" si="2"/>
        <v>233.20000000000005</v>
      </c>
      <c r="E22" s="42">
        <f t="shared" si="2"/>
        <v>233.20000000000005</v>
      </c>
      <c r="F22" s="42">
        <f t="shared" si="2"/>
        <v>233.20000000000005</v>
      </c>
      <c r="G22" s="42">
        <f t="shared" si="2"/>
        <v>233.20000000000005</v>
      </c>
      <c r="H22" s="42">
        <f t="shared" si="2"/>
        <v>233.20000000000005</v>
      </c>
      <c r="I22" s="42">
        <f t="shared" si="2"/>
        <v>254.39999999999998</v>
      </c>
      <c r="J22" s="42">
        <f t="shared" si="2"/>
        <v>275.60000000000002</v>
      </c>
      <c r="K22" s="42">
        <f t="shared" si="2"/>
        <v>296.79999999999995</v>
      </c>
      <c r="L22" s="42">
        <f t="shared" si="2"/>
        <v>296.79999999999995</v>
      </c>
      <c r="M22" s="42">
        <f t="shared" si="2"/>
        <v>296.79999999999995</v>
      </c>
      <c r="N22" s="42">
        <f t="shared" si="2"/>
        <v>296.79999999999995</v>
      </c>
      <c r="O22" s="42">
        <f t="shared" si="2"/>
        <v>296.79999999999995</v>
      </c>
      <c r="P22" s="42">
        <f t="shared" si="2"/>
        <v>296.79999999999995</v>
      </c>
      <c r="Q22" s="42">
        <f t="shared" si="2"/>
        <v>169.60000000000002</v>
      </c>
      <c r="R22" s="42">
        <f t="shared" si="2"/>
        <v>339.20000000000005</v>
      </c>
      <c r="S22" s="42">
        <f t="shared" si="2"/>
        <v>339.20000000000005</v>
      </c>
      <c r="T22" s="42">
        <f t="shared" si="2"/>
        <v>339.20000000000005</v>
      </c>
      <c r="U22" s="42">
        <f t="shared" si="2"/>
        <v>339.20000000000005</v>
      </c>
      <c r="V22" s="42">
        <f t="shared" si="2"/>
        <v>339.20000000000005</v>
      </c>
      <c r="W22" s="42">
        <f t="shared" si="2"/>
        <v>296.79999999999995</v>
      </c>
      <c r="X22" s="42">
        <f t="shared" si="2"/>
        <v>169.60000000000002</v>
      </c>
      <c r="Y22" s="42">
        <f t="shared" si="2"/>
        <v>254.39999999999998</v>
      </c>
      <c r="Z22" s="42">
        <f t="shared" si="2"/>
        <v>254.39999999999998</v>
      </c>
      <c r="AA22" s="42">
        <f t="shared" si="2"/>
        <v>254.39999999999998</v>
      </c>
      <c r="AB22" s="41">
        <f t="shared" si="2"/>
        <v>254.39999999999998</v>
      </c>
      <c r="AC22" s="42">
        <f>AC21*$B$5</f>
        <v>169.60000000000002</v>
      </c>
      <c r="AD22" s="142"/>
      <c r="AE22" s="40"/>
      <c r="AF22" s="40"/>
      <c r="AG22" s="40"/>
    </row>
    <row r="23" spans="1:34" s="10" customFormat="1" x14ac:dyDescent="0.2">
      <c r="A23" s="33" t="s">
        <v>96</v>
      </c>
      <c r="B23" s="89">
        <f>$B$9</f>
        <v>16</v>
      </c>
      <c r="C23" s="89">
        <f t="shared" ref="C23:AC23" si="3">$B$9</f>
        <v>16</v>
      </c>
      <c r="D23" s="89">
        <f t="shared" si="3"/>
        <v>16</v>
      </c>
      <c r="E23" s="89">
        <f t="shared" si="3"/>
        <v>16</v>
      </c>
      <c r="F23" s="89">
        <f t="shared" si="3"/>
        <v>16</v>
      </c>
      <c r="G23" s="89">
        <f t="shared" si="3"/>
        <v>16</v>
      </c>
      <c r="H23" s="89">
        <f t="shared" si="3"/>
        <v>16</v>
      </c>
      <c r="I23" s="89">
        <f t="shared" si="3"/>
        <v>16</v>
      </c>
      <c r="J23" s="89">
        <f t="shared" si="3"/>
        <v>16</v>
      </c>
      <c r="K23" s="89">
        <f t="shared" si="3"/>
        <v>16</v>
      </c>
      <c r="L23" s="89">
        <f t="shared" si="3"/>
        <v>16</v>
      </c>
      <c r="M23" s="89">
        <f t="shared" si="3"/>
        <v>16</v>
      </c>
      <c r="N23" s="89">
        <f t="shared" si="3"/>
        <v>16</v>
      </c>
      <c r="O23" s="89">
        <f t="shared" si="3"/>
        <v>16</v>
      </c>
      <c r="P23" s="89">
        <f t="shared" si="3"/>
        <v>16</v>
      </c>
      <c r="Q23" s="89">
        <f t="shared" si="3"/>
        <v>16</v>
      </c>
      <c r="R23" s="89">
        <f t="shared" si="3"/>
        <v>16</v>
      </c>
      <c r="S23" s="89">
        <f t="shared" si="3"/>
        <v>16</v>
      </c>
      <c r="T23" s="89">
        <f t="shared" si="3"/>
        <v>16</v>
      </c>
      <c r="U23" s="89">
        <f t="shared" si="3"/>
        <v>16</v>
      </c>
      <c r="V23" s="89">
        <f t="shared" si="3"/>
        <v>16</v>
      </c>
      <c r="W23" s="89">
        <f t="shared" si="3"/>
        <v>16</v>
      </c>
      <c r="X23" s="89">
        <f t="shared" si="3"/>
        <v>16</v>
      </c>
      <c r="Y23" s="89">
        <f t="shared" si="3"/>
        <v>16</v>
      </c>
      <c r="Z23" s="89">
        <f t="shared" si="3"/>
        <v>16</v>
      </c>
      <c r="AA23" s="89">
        <f t="shared" si="3"/>
        <v>16</v>
      </c>
      <c r="AB23" s="93">
        <f t="shared" si="3"/>
        <v>16</v>
      </c>
      <c r="AC23" s="89">
        <f t="shared" si="3"/>
        <v>16</v>
      </c>
      <c r="AD23" s="127"/>
      <c r="AE23" s="40"/>
      <c r="AF23" s="40"/>
      <c r="AG23" s="40"/>
    </row>
    <row r="24" spans="1:34" s="10" customFormat="1" x14ac:dyDescent="0.2">
      <c r="A24" s="342" t="s">
        <v>97</v>
      </c>
      <c r="B24" s="89">
        <f t="shared" ref="B24:AC24" si="4">IF(ISBLANK(B96),0,$B$10)</f>
        <v>0</v>
      </c>
      <c r="C24" s="89">
        <f t="shared" si="4"/>
        <v>0</v>
      </c>
      <c r="D24" s="89">
        <f t="shared" si="4"/>
        <v>0</v>
      </c>
      <c r="E24" s="89">
        <f t="shared" si="4"/>
        <v>0</v>
      </c>
      <c r="F24" s="89">
        <f t="shared" si="4"/>
        <v>0</v>
      </c>
      <c r="G24" s="89">
        <f t="shared" si="4"/>
        <v>0</v>
      </c>
      <c r="H24" s="89">
        <f t="shared" si="4"/>
        <v>0</v>
      </c>
      <c r="I24" s="89">
        <f t="shared" si="4"/>
        <v>0</v>
      </c>
      <c r="J24" s="89">
        <f t="shared" si="4"/>
        <v>16</v>
      </c>
      <c r="K24" s="89">
        <f t="shared" si="4"/>
        <v>0</v>
      </c>
      <c r="L24" s="89">
        <f t="shared" si="4"/>
        <v>16</v>
      </c>
      <c r="M24" s="89">
        <f t="shared" si="4"/>
        <v>16</v>
      </c>
      <c r="N24" s="89">
        <f t="shared" si="4"/>
        <v>0</v>
      </c>
      <c r="O24" s="89">
        <f t="shared" si="4"/>
        <v>0</v>
      </c>
      <c r="P24" s="89">
        <f t="shared" si="4"/>
        <v>16</v>
      </c>
      <c r="Q24" s="89">
        <f t="shared" si="4"/>
        <v>16</v>
      </c>
      <c r="R24" s="89">
        <f t="shared" si="4"/>
        <v>16</v>
      </c>
      <c r="S24" s="89">
        <f t="shared" si="4"/>
        <v>16</v>
      </c>
      <c r="T24" s="89">
        <f t="shared" si="4"/>
        <v>16</v>
      </c>
      <c r="U24" s="89">
        <f t="shared" si="4"/>
        <v>16</v>
      </c>
      <c r="V24" s="89">
        <f t="shared" si="4"/>
        <v>16</v>
      </c>
      <c r="W24" s="89">
        <f t="shared" si="4"/>
        <v>16</v>
      </c>
      <c r="X24" s="89">
        <f t="shared" si="4"/>
        <v>16</v>
      </c>
      <c r="Y24" s="89">
        <f t="shared" si="4"/>
        <v>0</v>
      </c>
      <c r="Z24" s="89">
        <f t="shared" si="4"/>
        <v>0</v>
      </c>
      <c r="AA24" s="89">
        <f t="shared" si="4"/>
        <v>0</v>
      </c>
      <c r="AB24" s="89">
        <f t="shared" si="4"/>
        <v>0</v>
      </c>
      <c r="AC24" s="89">
        <f t="shared" si="4"/>
        <v>0</v>
      </c>
      <c r="AD24" s="127"/>
      <c r="AE24" s="40"/>
      <c r="AF24" s="40"/>
      <c r="AG24" s="40"/>
    </row>
    <row r="25" spans="1:34" s="10" customFormat="1" x14ac:dyDescent="0.2">
      <c r="A25" s="342" t="s">
        <v>98</v>
      </c>
      <c r="B25" s="42">
        <f>B21*$B$5+SUM(B23:B24)</f>
        <v>249.20000000000005</v>
      </c>
      <c r="C25" s="42">
        <f t="shared" ref="C25:AB25" si="5">C21*$B$5+SUM(C23:C24)</f>
        <v>249.20000000000005</v>
      </c>
      <c r="D25" s="42">
        <f t="shared" si="5"/>
        <v>249.20000000000005</v>
      </c>
      <c r="E25" s="42">
        <f t="shared" si="5"/>
        <v>249.20000000000005</v>
      </c>
      <c r="F25" s="42">
        <f t="shared" si="5"/>
        <v>249.20000000000005</v>
      </c>
      <c r="G25" s="42">
        <f t="shared" si="5"/>
        <v>249.20000000000005</v>
      </c>
      <c r="H25" s="42">
        <f t="shared" si="5"/>
        <v>249.20000000000005</v>
      </c>
      <c r="I25" s="42">
        <f t="shared" si="5"/>
        <v>270.39999999999998</v>
      </c>
      <c r="J25" s="42">
        <f t="shared" si="5"/>
        <v>307.60000000000002</v>
      </c>
      <c r="K25" s="42">
        <f t="shared" si="5"/>
        <v>312.79999999999995</v>
      </c>
      <c r="L25" s="42">
        <f t="shared" si="5"/>
        <v>328.79999999999995</v>
      </c>
      <c r="M25" s="42">
        <f t="shared" si="5"/>
        <v>328.79999999999995</v>
      </c>
      <c r="N25" s="42">
        <f t="shared" si="5"/>
        <v>312.79999999999995</v>
      </c>
      <c r="O25" s="42">
        <f t="shared" si="5"/>
        <v>312.79999999999995</v>
      </c>
      <c r="P25" s="42">
        <f t="shared" si="5"/>
        <v>328.79999999999995</v>
      </c>
      <c r="Q25" s="42">
        <f t="shared" si="5"/>
        <v>201.60000000000002</v>
      </c>
      <c r="R25" s="42">
        <f t="shared" si="5"/>
        <v>371.20000000000005</v>
      </c>
      <c r="S25" s="42">
        <f t="shared" si="5"/>
        <v>371.20000000000005</v>
      </c>
      <c r="T25" s="42">
        <f t="shared" si="5"/>
        <v>371.20000000000005</v>
      </c>
      <c r="U25" s="42">
        <f t="shared" si="5"/>
        <v>371.20000000000005</v>
      </c>
      <c r="V25" s="42">
        <f t="shared" si="5"/>
        <v>371.20000000000005</v>
      </c>
      <c r="W25" s="42">
        <f t="shared" si="5"/>
        <v>328.79999999999995</v>
      </c>
      <c r="X25" s="42">
        <f t="shared" si="5"/>
        <v>201.60000000000002</v>
      </c>
      <c r="Y25" s="42">
        <f t="shared" si="5"/>
        <v>270.39999999999998</v>
      </c>
      <c r="Z25" s="42">
        <f t="shared" si="5"/>
        <v>270.39999999999998</v>
      </c>
      <c r="AA25" s="42">
        <f t="shared" si="5"/>
        <v>270.39999999999998</v>
      </c>
      <c r="AB25" s="41">
        <f t="shared" si="5"/>
        <v>270.39999999999998</v>
      </c>
      <c r="AC25" s="42">
        <f>AC21*$B$5+SUM(AC23:AC24)</f>
        <v>185.60000000000002</v>
      </c>
      <c r="AD25" s="142"/>
      <c r="AE25" s="40"/>
      <c r="AF25" s="40"/>
      <c r="AG25" s="40"/>
    </row>
    <row r="26" spans="1:34" s="10" customFormat="1" x14ac:dyDescent="0.2">
      <c r="A26" s="343" t="s">
        <v>99</v>
      </c>
      <c r="B26" s="39">
        <f t="shared" ref="B26:AC26" si="6">-IF(ISBLANK(B95),0,MIN(B$22*$H$10,B$22-$B$7*$H$9))</f>
        <v>-63.600000000000023</v>
      </c>
      <c r="C26" s="39">
        <f t="shared" si="6"/>
        <v>-63.600000000000023</v>
      </c>
      <c r="D26" s="39">
        <f t="shared" si="6"/>
        <v>-63.600000000000023</v>
      </c>
      <c r="E26" s="39">
        <f t="shared" si="6"/>
        <v>-63.600000000000023</v>
      </c>
      <c r="F26" s="39">
        <f t="shared" si="6"/>
        <v>-63.600000000000023</v>
      </c>
      <c r="G26" s="39">
        <f t="shared" si="6"/>
        <v>-63.600000000000023</v>
      </c>
      <c r="H26" s="39">
        <f t="shared" si="6"/>
        <v>-63.600000000000023</v>
      </c>
      <c r="I26" s="39">
        <f t="shared" si="6"/>
        <v>-73.521599999999992</v>
      </c>
      <c r="J26" s="39">
        <f t="shared" si="6"/>
        <v>0</v>
      </c>
      <c r="K26" s="39">
        <f t="shared" si="6"/>
        <v>-85.775199999999984</v>
      </c>
      <c r="L26" s="39">
        <f t="shared" si="6"/>
        <v>0</v>
      </c>
      <c r="M26" s="39">
        <f t="shared" si="6"/>
        <v>0</v>
      </c>
      <c r="N26" s="39">
        <f t="shared" si="6"/>
        <v>-85.775199999999984</v>
      </c>
      <c r="O26" s="39">
        <f t="shared" si="6"/>
        <v>-85.775199999999984</v>
      </c>
      <c r="P26" s="39">
        <f t="shared" si="6"/>
        <v>0</v>
      </c>
      <c r="Q26" s="39">
        <f t="shared" si="6"/>
        <v>0</v>
      </c>
      <c r="R26" s="39">
        <f t="shared" si="6"/>
        <v>0</v>
      </c>
      <c r="S26" s="39">
        <f t="shared" si="6"/>
        <v>0</v>
      </c>
      <c r="T26" s="39">
        <f t="shared" si="6"/>
        <v>0</v>
      </c>
      <c r="U26" s="39">
        <f t="shared" si="6"/>
        <v>0</v>
      </c>
      <c r="V26" s="39">
        <f t="shared" si="6"/>
        <v>0</v>
      </c>
      <c r="W26" s="39">
        <f t="shared" si="6"/>
        <v>0</v>
      </c>
      <c r="X26" s="39">
        <f t="shared" si="6"/>
        <v>0</v>
      </c>
      <c r="Y26" s="39">
        <f t="shared" si="6"/>
        <v>-73.521599999999992</v>
      </c>
      <c r="Z26" s="39">
        <f t="shared" si="6"/>
        <v>-73.521599999999992</v>
      </c>
      <c r="AA26" s="39">
        <f t="shared" si="6"/>
        <v>-73.521599999999992</v>
      </c>
      <c r="AB26" s="38">
        <f t="shared" si="6"/>
        <v>-73.521599999999992</v>
      </c>
      <c r="AC26" s="42">
        <f t="shared" si="6"/>
        <v>0</v>
      </c>
      <c r="AD26" s="142"/>
      <c r="AE26" s="126"/>
    </row>
    <row r="27" spans="1:34" s="10" customFormat="1" x14ac:dyDescent="0.2">
      <c r="A27" s="158" t="s">
        <v>100</v>
      </c>
      <c r="B27" s="39">
        <f t="shared" ref="B27:AB27" si="7">SUM(B25:B26)</f>
        <v>185.60000000000002</v>
      </c>
      <c r="C27" s="39">
        <f t="shared" si="7"/>
        <v>185.60000000000002</v>
      </c>
      <c r="D27" s="39">
        <f t="shared" si="7"/>
        <v>185.60000000000002</v>
      </c>
      <c r="E27" s="39">
        <f t="shared" si="7"/>
        <v>185.60000000000002</v>
      </c>
      <c r="F27" s="39">
        <f t="shared" si="7"/>
        <v>185.60000000000002</v>
      </c>
      <c r="G27" s="39">
        <f t="shared" si="7"/>
        <v>185.60000000000002</v>
      </c>
      <c r="H27" s="39">
        <f t="shared" si="7"/>
        <v>185.60000000000002</v>
      </c>
      <c r="I27" s="39">
        <f t="shared" si="7"/>
        <v>196.8784</v>
      </c>
      <c r="J27" s="39">
        <f t="shared" si="7"/>
        <v>307.60000000000002</v>
      </c>
      <c r="K27" s="39">
        <f t="shared" si="7"/>
        <v>227.02479999999997</v>
      </c>
      <c r="L27" s="39">
        <f t="shared" si="7"/>
        <v>328.79999999999995</v>
      </c>
      <c r="M27" s="39">
        <f t="shared" si="7"/>
        <v>328.79999999999995</v>
      </c>
      <c r="N27" s="39">
        <f t="shared" si="7"/>
        <v>227.02479999999997</v>
      </c>
      <c r="O27" s="39">
        <f t="shared" si="7"/>
        <v>227.02479999999997</v>
      </c>
      <c r="P27" s="39">
        <f t="shared" si="7"/>
        <v>328.79999999999995</v>
      </c>
      <c r="Q27" s="39">
        <f t="shared" si="7"/>
        <v>201.60000000000002</v>
      </c>
      <c r="R27" s="39">
        <f t="shared" si="7"/>
        <v>371.20000000000005</v>
      </c>
      <c r="S27" s="39">
        <f t="shared" si="7"/>
        <v>371.20000000000005</v>
      </c>
      <c r="T27" s="39">
        <f t="shared" si="7"/>
        <v>371.20000000000005</v>
      </c>
      <c r="U27" s="39">
        <f t="shared" si="7"/>
        <v>371.20000000000005</v>
      </c>
      <c r="V27" s="39">
        <f t="shared" si="7"/>
        <v>371.20000000000005</v>
      </c>
      <c r="W27" s="39">
        <f t="shared" si="7"/>
        <v>328.79999999999995</v>
      </c>
      <c r="X27" s="39">
        <f t="shared" si="7"/>
        <v>201.60000000000002</v>
      </c>
      <c r="Y27" s="39">
        <f t="shared" si="7"/>
        <v>196.8784</v>
      </c>
      <c r="Z27" s="39">
        <f t="shared" si="7"/>
        <v>196.8784</v>
      </c>
      <c r="AA27" s="39">
        <f t="shared" si="7"/>
        <v>196.8784</v>
      </c>
      <c r="AB27" s="38">
        <f t="shared" si="7"/>
        <v>196.8784</v>
      </c>
      <c r="AC27" s="42">
        <f>SUM(AC25:AC26)</f>
        <v>185.60000000000002</v>
      </c>
      <c r="AD27" s="142"/>
      <c r="AE27" s="19"/>
      <c r="AF27" s="43"/>
      <c r="AG27" s="125"/>
    </row>
    <row r="28" spans="1:34" s="10" customFormat="1" x14ac:dyDescent="0.2">
      <c r="A28" s="28" t="s">
        <v>101</v>
      </c>
      <c r="B28" s="39">
        <f>AVERAGE(AA27:AB27,B27)</f>
        <v>193.11893333333333</v>
      </c>
      <c r="C28" s="39">
        <f>AVERAGE(AB27,B27:C27)</f>
        <v>189.35946666666669</v>
      </c>
      <c r="D28" s="39">
        <f>AVERAGE(B27:D27)</f>
        <v>185.60000000000002</v>
      </c>
      <c r="E28" s="39">
        <f t="shared" ref="E28:AB28" si="8">AVERAGE(C27:E27)</f>
        <v>185.60000000000002</v>
      </c>
      <c r="F28" s="39">
        <f t="shared" si="8"/>
        <v>185.60000000000002</v>
      </c>
      <c r="G28" s="39">
        <f t="shared" si="8"/>
        <v>185.60000000000002</v>
      </c>
      <c r="H28" s="39">
        <f t="shared" si="8"/>
        <v>185.60000000000002</v>
      </c>
      <c r="I28" s="39">
        <f t="shared" si="8"/>
        <v>189.35946666666669</v>
      </c>
      <c r="J28" s="39">
        <f t="shared" si="8"/>
        <v>230.02613333333338</v>
      </c>
      <c r="K28" s="39">
        <f t="shared" si="8"/>
        <v>243.83439999999999</v>
      </c>
      <c r="L28" s="39">
        <f t="shared" si="8"/>
        <v>287.80826666666667</v>
      </c>
      <c r="M28" s="39">
        <f t="shared" si="8"/>
        <v>294.87493333333327</v>
      </c>
      <c r="N28" s="39">
        <f t="shared" si="8"/>
        <v>294.87493333333327</v>
      </c>
      <c r="O28" s="39">
        <f t="shared" si="8"/>
        <v>260.94986666666659</v>
      </c>
      <c r="P28" s="39">
        <f t="shared" si="8"/>
        <v>260.94986666666665</v>
      </c>
      <c r="Q28" s="39">
        <f t="shared" si="8"/>
        <v>252.4749333333333</v>
      </c>
      <c r="R28" s="39">
        <f t="shared" si="8"/>
        <v>300.53333333333336</v>
      </c>
      <c r="S28" s="39">
        <f t="shared" si="8"/>
        <v>314.66666666666669</v>
      </c>
      <c r="T28" s="39">
        <f t="shared" si="8"/>
        <v>371.20000000000005</v>
      </c>
      <c r="U28" s="39">
        <f t="shared" si="8"/>
        <v>371.20000000000005</v>
      </c>
      <c r="V28" s="39">
        <f t="shared" si="8"/>
        <v>371.20000000000005</v>
      </c>
      <c r="W28" s="39">
        <f t="shared" si="8"/>
        <v>357.06666666666666</v>
      </c>
      <c r="X28" s="39">
        <f t="shared" si="8"/>
        <v>300.53333333333336</v>
      </c>
      <c r="Y28" s="39">
        <f t="shared" si="8"/>
        <v>242.4261333333333</v>
      </c>
      <c r="Z28" s="39">
        <f t="shared" si="8"/>
        <v>198.45226666666667</v>
      </c>
      <c r="AA28" s="39">
        <f t="shared" si="8"/>
        <v>196.87839999999997</v>
      </c>
      <c r="AB28" s="38">
        <f t="shared" si="8"/>
        <v>196.87839999999997</v>
      </c>
      <c r="AC28" s="42"/>
      <c r="AD28" s="142"/>
      <c r="AE28" s="19"/>
      <c r="AF28" s="43"/>
      <c r="AG28" s="125"/>
    </row>
    <row r="29" spans="1:34" s="10" customFormat="1" x14ac:dyDescent="0.2">
      <c r="A29" s="123" t="s">
        <v>102</v>
      </c>
      <c r="B29" s="41"/>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277"/>
      <c r="AD29" s="142"/>
      <c r="AF29" s="128"/>
      <c r="AG29" s="127"/>
    </row>
    <row r="30" spans="1:34" s="10" customFormat="1" x14ac:dyDescent="0.2">
      <c r="A30" s="28" t="s">
        <v>103</v>
      </c>
      <c r="B30" s="39">
        <f t="shared" ref="B30:AC30" si="9">IF(ISBLANK(B95),0,$B$11)</f>
        <v>0</v>
      </c>
      <c r="C30" s="39">
        <f t="shared" si="9"/>
        <v>0</v>
      </c>
      <c r="D30" s="39">
        <f t="shared" si="9"/>
        <v>0</v>
      </c>
      <c r="E30" s="39">
        <f t="shared" si="9"/>
        <v>0</v>
      </c>
      <c r="F30" s="39">
        <f t="shared" si="9"/>
        <v>0</v>
      </c>
      <c r="G30" s="39">
        <f t="shared" si="9"/>
        <v>0</v>
      </c>
      <c r="H30" s="39">
        <f t="shared" si="9"/>
        <v>0</v>
      </c>
      <c r="I30" s="39">
        <f t="shared" si="9"/>
        <v>0</v>
      </c>
      <c r="J30" s="39">
        <f t="shared" si="9"/>
        <v>0</v>
      </c>
      <c r="K30" s="39">
        <f t="shared" si="9"/>
        <v>0</v>
      </c>
      <c r="L30" s="39">
        <f t="shared" si="9"/>
        <v>0</v>
      </c>
      <c r="M30" s="39">
        <f t="shared" si="9"/>
        <v>0</v>
      </c>
      <c r="N30" s="39">
        <f t="shared" si="9"/>
        <v>0</v>
      </c>
      <c r="O30" s="39">
        <f t="shared" si="9"/>
        <v>0</v>
      </c>
      <c r="P30" s="39">
        <f t="shared" si="9"/>
        <v>0</v>
      </c>
      <c r="Q30" s="39">
        <f t="shared" si="9"/>
        <v>0</v>
      </c>
      <c r="R30" s="39">
        <f t="shared" si="9"/>
        <v>0</v>
      </c>
      <c r="S30" s="39">
        <f t="shared" si="9"/>
        <v>0</v>
      </c>
      <c r="T30" s="39">
        <f t="shared" si="9"/>
        <v>0</v>
      </c>
      <c r="U30" s="39">
        <f t="shared" si="9"/>
        <v>0</v>
      </c>
      <c r="V30" s="39">
        <f t="shared" si="9"/>
        <v>0</v>
      </c>
      <c r="W30" s="39">
        <f t="shared" si="9"/>
        <v>0</v>
      </c>
      <c r="X30" s="39">
        <f t="shared" si="9"/>
        <v>0</v>
      </c>
      <c r="Y30" s="39">
        <f t="shared" si="9"/>
        <v>0</v>
      </c>
      <c r="Z30" s="39">
        <f t="shared" si="9"/>
        <v>0</v>
      </c>
      <c r="AA30" s="39">
        <f t="shared" si="9"/>
        <v>0</v>
      </c>
      <c r="AB30" s="38">
        <f t="shared" si="9"/>
        <v>0</v>
      </c>
      <c r="AC30" s="39">
        <f t="shared" si="9"/>
        <v>0</v>
      </c>
      <c r="AD30" s="142"/>
      <c r="AE30" s="1"/>
      <c r="AF30" s="128"/>
      <c r="AG30" s="127"/>
      <c r="AH30" s="1"/>
    </row>
    <row r="31" spans="1:34" ht="12.75" x14ac:dyDescent="0.2">
      <c r="A31" s="27" t="s">
        <v>104</v>
      </c>
      <c r="B31" s="154"/>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277"/>
      <c r="AD31" s="133"/>
    </row>
    <row r="32" spans="1:34" s="10" customFormat="1" x14ac:dyDescent="0.2">
      <c r="A32" s="35" t="s">
        <v>105</v>
      </c>
      <c r="B32" s="37">
        <v>0.7</v>
      </c>
      <c r="C32" s="37">
        <v>0.7</v>
      </c>
      <c r="D32" s="37">
        <v>0.7</v>
      </c>
      <c r="E32" s="37">
        <v>0.7</v>
      </c>
      <c r="F32" s="37">
        <v>0.7</v>
      </c>
      <c r="G32" s="37">
        <v>0.7</v>
      </c>
      <c r="H32" s="37">
        <v>0.8</v>
      </c>
      <c r="I32" s="37">
        <v>0.8</v>
      </c>
      <c r="J32" s="37">
        <v>0.8</v>
      </c>
      <c r="K32" s="37">
        <v>0.9</v>
      </c>
      <c r="L32" s="37">
        <v>0.9</v>
      </c>
      <c r="M32" s="37">
        <v>0.9</v>
      </c>
      <c r="N32" s="37">
        <v>1</v>
      </c>
      <c r="O32" s="37">
        <v>1</v>
      </c>
      <c r="P32" s="37">
        <v>1</v>
      </c>
      <c r="Q32" s="37">
        <v>1</v>
      </c>
      <c r="R32" s="37">
        <v>1</v>
      </c>
      <c r="S32" s="37">
        <v>1</v>
      </c>
      <c r="T32" s="37">
        <v>1</v>
      </c>
      <c r="U32" s="37">
        <v>1</v>
      </c>
      <c r="V32" s="37">
        <v>1</v>
      </c>
      <c r="W32" s="37">
        <v>1</v>
      </c>
      <c r="X32" s="37">
        <v>1</v>
      </c>
      <c r="Y32" s="37">
        <v>1</v>
      </c>
      <c r="Z32" s="37">
        <v>1</v>
      </c>
      <c r="AA32" s="37">
        <v>1</v>
      </c>
      <c r="AB32" s="36">
        <v>1</v>
      </c>
      <c r="AC32" s="37">
        <v>0.7</v>
      </c>
      <c r="AD32" s="140"/>
      <c r="AE32" s="103"/>
      <c r="AF32" s="103"/>
      <c r="AG32" s="103"/>
    </row>
    <row r="33" spans="1:33" s="10" customFormat="1" x14ac:dyDescent="0.2">
      <c r="A33" s="35" t="s">
        <v>106</v>
      </c>
      <c r="B33" s="301">
        <f t="shared" ref="B33:AC33" si="10">B32*0.8</f>
        <v>0.55999999999999994</v>
      </c>
      <c r="C33" s="301">
        <f t="shared" si="10"/>
        <v>0.55999999999999994</v>
      </c>
      <c r="D33" s="301">
        <f t="shared" si="10"/>
        <v>0.55999999999999994</v>
      </c>
      <c r="E33" s="301">
        <f t="shared" si="10"/>
        <v>0.55999999999999994</v>
      </c>
      <c r="F33" s="301">
        <f t="shared" si="10"/>
        <v>0.55999999999999994</v>
      </c>
      <c r="G33" s="301">
        <f t="shared" si="10"/>
        <v>0.55999999999999994</v>
      </c>
      <c r="H33" s="301">
        <f t="shared" si="10"/>
        <v>0.64000000000000012</v>
      </c>
      <c r="I33" s="301">
        <f t="shared" si="10"/>
        <v>0.64000000000000012</v>
      </c>
      <c r="J33" s="301">
        <f t="shared" si="10"/>
        <v>0.64000000000000012</v>
      </c>
      <c r="K33" s="301">
        <f t="shared" si="10"/>
        <v>0.72000000000000008</v>
      </c>
      <c r="L33" s="301">
        <f t="shared" si="10"/>
        <v>0.72000000000000008</v>
      </c>
      <c r="M33" s="301">
        <f t="shared" si="10"/>
        <v>0.72000000000000008</v>
      </c>
      <c r="N33" s="301">
        <f t="shared" si="10"/>
        <v>0.8</v>
      </c>
      <c r="O33" s="301">
        <f t="shared" si="10"/>
        <v>0.8</v>
      </c>
      <c r="P33" s="301">
        <f t="shared" si="10"/>
        <v>0.8</v>
      </c>
      <c r="Q33" s="301">
        <f t="shared" si="10"/>
        <v>0.8</v>
      </c>
      <c r="R33" s="301">
        <f t="shared" si="10"/>
        <v>0.8</v>
      </c>
      <c r="S33" s="301">
        <f t="shared" si="10"/>
        <v>0.8</v>
      </c>
      <c r="T33" s="301">
        <f t="shared" si="10"/>
        <v>0.8</v>
      </c>
      <c r="U33" s="301">
        <f t="shared" si="10"/>
        <v>0.8</v>
      </c>
      <c r="V33" s="301">
        <f t="shared" si="10"/>
        <v>0.8</v>
      </c>
      <c r="W33" s="301">
        <f t="shared" si="10"/>
        <v>0.8</v>
      </c>
      <c r="X33" s="301">
        <f t="shared" si="10"/>
        <v>0.8</v>
      </c>
      <c r="Y33" s="301">
        <f t="shared" si="10"/>
        <v>0.8</v>
      </c>
      <c r="Z33" s="301">
        <f t="shared" si="10"/>
        <v>0.8</v>
      </c>
      <c r="AA33" s="301">
        <f t="shared" si="10"/>
        <v>0.8</v>
      </c>
      <c r="AB33" s="301">
        <f t="shared" si="10"/>
        <v>0.8</v>
      </c>
      <c r="AC33" s="301">
        <f t="shared" si="10"/>
        <v>0.55999999999999994</v>
      </c>
      <c r="AD33" s="140"/>
      <c r="AE33" s="103"/>
      <c r="AF33" s="103"/>
      <c r="AG33" s="103"/>
    </row>
    <row r="34" spans="1:33" s="10" customFormat="1" x14ac:dyDescent="0.2">
      <c r="A34" s="35" t="s">
        <v>107</v>
      </c>
      <c r="B34" s="359">
        <f t="shared" ref="B34:AC34" si="11">((B36*$B$117)/$B$2)</f>
        <v>0.18479999999999999</v>
      </c>
      <c r="C34" s="359">
        <f t="shared" si="11"/>
        <v>0.18479999999999999</v>
      </c>
      <c r="D34" s="359">
        <f t="shared" si="11"/>
        <v>0.18479999999999999</v>
      </c>
      <c r="E34" s="359">
        <f t="shared" si="11"/>
        <v>0.18479999999999999</v>
      </c>
      <c r="F34" s="359">
        <f t="shared" si="11"/>
        <v>0.18479999999999999</v>
      </c>
      <c r="G34" s="359">
        <f t="shared" si="11"/>
        <v>0.18479999999999999</v>
      </c>
      <c r="H34" s="359">
        <f t="shared" si="11"/>
        <v>0.2112</v>
      </c>
      <c r="I34" s="359">
        <f t="shared" si="11"/>
        <v>0.2112</v>
      </c>
      <c r="J34" s="359">
        <f t="shared" si="11"/>
        <v>0.2112</v>
      </c>
      <c r="K34" s="359">
        <f t="shared" si="11"/>
        <v>0.23760000000000003</v>
      </c>
      <c r="L34" s="359">
        <f t="shared" si="11"/>
        <v>0.23760000000000003</v>
      </c>
      <c r="M34" s="359">
        <f t="shared" si="11"/>
        <v>0.23760000000000003</v>
      </c>
      <c r="N34" s="359">
        <f t="shared" si="11"/>
        <v>0.26400000000000001</v>
      </c>
      <c r="O34" s="359">
        <f t="shared" si="11"/>
        <v>0.26400000000000001</v>
      </c>
      <c r="P34" s="359">
        <f t="shared" si="11"/>
        <v>0.26400000000000001</v>
      </c>
      <c r="Q34" s="359">
        <f t="shared" si="11"/>
        <v>0.26400000000000001</v>
      </c>
      <c r="R34" s="359">
        <f t="shared" si="11"/>
        <v>0.26400000000000001</v>
      </c>
      <c r="S34" s="359">
        <f t="shared" si="11"/>
        <v>0.26400000000000001</v>
      </c>
      <c r="T34" s="359">
        <f t="shared" si="11"/>
        <v>0.26400000000000001</v>
      </c>
      <c r="U34" s="359">
        <f t="shared" si="11"/>
        <v>0.26400000000000001</v>
      </c>
      <c r="V34" s="359">
        <f t="shared" si="11"/>
        <v>0.26400000000000001</v>
      </c>
      <c r="W34" s="359">
        <f t="shared" si="11"/>
        <v>0.26400000000000001</v>
      </c>
      <c r="X34" s="359">
        <f t="shared" si="11"/>
        <v>0.26400000000000001</v>
      </c>
      <c r="Y34" s="359">
        <f t="shared" si="11"/>
        <v>0.26400000000000001</v>
      </c>
      <c r="Z34" s="359">
        <f t="shared" si="11"/>
        <v>0.26400000000000001</v>
      </c>
      <c r="AA34" s="359">
        <f t="shared" si="11"/>
        <v>0.26400000000000001</v>
      </c>
      <c r="AB34" s="359">
        <f t="shared" si="11"/>
        <v>0.26400000000000001</v>
      </c>
      <c r="AC34" s="359">
        <f t="shared" si="11"/>
        <v>0.18479999999999999</v>
      </c>
      <c r="AD34" s="140"/>
      <c r="AE34" s="103"/>
      <c r="AF34" s="103"/>
      <c r="AG34" s="103"/>
    </row>
    <row r="35" spans="1:33" s="10" customFormat="1" x14ac:dyDescent="0.2">
      <c r="A35" s="33" t="s">
        <v>108</v>
      </c>
      <c r="B35" s="32">
        <f t="shared" ref="B35:AC35" si="12">ROUND($B$2*B$32,2)</f>
        <v>7</v>
      </c>
      <c r="C35" s="32">
        <f t="shared" si="12"/>
        <v>7</v>
      </c>
      <c r="D35" s="32">
        <f t="shared" si="12"/>
        <v>7</v>
      </c>
      <c r="E35" s="32">
        <f t="shared" si="12"/>
        <v>7</v>
      </c>
      <c r="F35" s="32">
        <f t="shared" si="12"/>
        <v>7</v>
      </c>
      <c r="G35" s="32">
        <f t="shared" si="12"/>
        <v>7</v>
      </c>
      <c r="H35" s="32">
        <f t="shared" si="12"/>
        <v>8</v>
      </c>
      <c r="I35" s="32">
        <f t="shared" si="12"/>
        <v>8</v>
      </c>
      <c r="J35" s="32">
        <f t="shared" si="12"/>
        <v>8</v>
      </c>
      <c r="K35" s="32">
        <f t="shared" si="12"/>
        <v>9</v>
      </c>
      <c r="L35" s="32">
        <f t="shared" si="12"/>
        <v>9</v>
      </c>
      <c r="M35" s="32">
        <f t="shared" si="12"/>
        <v>9</v>
      </c>
      <c r="N35" s="32">
        <f t="shared" si="12"/>
        <v>10</v>
      </c>
      <c r="O35" s="32">
        <f t="shared" si="12"/>
        <v>10</v>
      </c>
      <c r="P35" s="32">
        <f t="shared" si="12"/>
        <v>10</v>
      </c>
      <c r="Q35" s="32">
        <f t="shared" si="12"/>
        <v>10</v>
      </c>
      <c r="R35" s="32">
        <f t="shared" si="12"/>
        <v>10</v>
      </c>
      <c r="S35" s="32">
        <f t="shared" si="12"/>
        <v>10</v>
      </c>
      <c r="T35" s="32">
        <f t="shared" si="12"/>
        <v>10</v>
      </c>
      <c r="U35" s="32">
        <f t="shared" si="12"/>
        <v>10</v>
      </c>
      <c r="V35" s="32">
        <f t="shared" si="12"/>
        <v>10</v>
      </c>
      <c r="W35" s="32">
        <f t="shared" si="12"/>
        <v>10</v>
      </c>
      <c r="X35" s="32">
        <f t="shared" si="12"/>
        <v>10</v>
      </c>
      <c r="Y35" s="32">
        <f t="shared" si="12"/>
        <v>10</v>
      </c>
      <c r="Z35" s="32">
        <f t="shared" si="12"/>
        <v>10</v>
      </c>
      <c r="AA35" s="32">
        <f t="shared" si="12"/>
        <v>10</v>
      </c>
      <c r="AB35" s="31">
        <f t="shared" si="12"/>
        <v>10</v>
      </c>
      <c r="AC35" s="32">
        <f t="shared" si="12"/>
        <v>7</v>
      </c>
      <c r="AD35" s="139"/>
      <c r="AE35" s="11"/>
      <c r="AF35" s="11"/>
      <c r="AG35" s="11"/>
    </row>
    <row r="36" spans="1:33" s="10" customFormat="1" x14ac:dyDescent="0.2">
      <c r="A36" s="33" t="s">
        <v>109</v>
      </c>
      <c r="B36" s="32">
        <f t="shared" ref="B36:AC36" si="13">ROUND($B$2*B$33,2)</f>
        <v>5.6</v>
      </c>
      <c r="C36" s="32">
        <f t="shared" si="13"/>
        <v>5.6</v>
      </c>
      <c r="D36" s="32">
        <f t="shared" si="13"/>
        <v>5.6</v>
      </c>
      <c r="E36" s="32">
        <f t="shared" si="13"/>
        <v>5.6</v>
      </c>
      <c r="F36" s="32">
        <f t="shared" si="13"/>
        <v>5.6</v>
      </c>
      <c r="G36" s="32">
        <f t="shared" si="13"/>
        <v>5.6</v>
      </c>
      <c r="H36" s="32">
        <f t="shared" si="13"/>
        <v>6.4</v>
      </c>
      <c r="I36" s="32">
        <f t="shared" si="13"/>
        <v>6.4</v>
      </c>
      <c r="J36" s="32">
        <f t="shared" si="13"/>
        <v>6.4</v>
      </c>
      <c r="K36" s="32">
        <f t="shared" si="13"/>
        <v>7.2</v>
      </c>
      <c r="L36" s="32">
        <f t="shared" si="13"/>
        <v>7.2</v>
      </c>
      <c r="M36" s="32">
        <f t="shared" si="13"/>
        <v>7.2</v>
      </c>
      <c r="N36" s="32">
        <f t="shared" si="13"/>
        <v>8</v>
      </c>
      <c r="O36" s="32">
        <f t="shared" si="13"/>
        <v>8</v>
      </c>
      <c r="P36" s="32">
        <f t="shared" si="13"/>
        <v>8</v>
      </c>
      <c r="Q36" s="32">
        <f t="shared" si="13"/>
        <v>8</v>
      </c>
      <c r="R36" s="32">
        <f t="shared" si="13"/>
        <v>8</v>
      </c>
      <c r="S36" s="32">
        <f t="shared" si="13"/>
        <v>8</v>
      </c>
      <c r="T36" s="32">
        <f t="shared" si="13"/>
        <v>8</v>
      </c>
      <c r="U36" s="32">
        <f t="shared" si="13"/>
        <v>8</v>
      </c>
      <c r="V36" s="32">
        <f t="shared" si="13"/>
        <v>8</v>
      </c>
      <c r="W36" s="32">
        <f t="shared" si="13"/>
        <v>8</v>
      </c>
      <c r="X36" s="32">
        <f t="shared" si="13"/>
        <v>8</v>
      </c>
      <c r="Y36" s="32">
        <f t="shared" si="13"/>
        <v>8</v>
      </c>
      <c r="Z36" s="32">
        <f t="shared" si="13"/>
        <v>8</v>
      </c>
      <c r="AA36" s="32">
        <f t="shared" si="13"/>
        <v>8</v>
      </c>
      <c r="AB36" s="31">
        <f t="shared" si="13"/>
        <v>8</v>
      </c>
      <c r="AC36" s="32">
        <f t="shared" si="13"/>
        <v>5.6</v>
      </c>
      <c r="AD36" s="139"/>
      <c r="AE36" s="11"/>
      <c r="AF36" s="11"/>
      <c r="AG36" s="130"/>
    </row>
    <row r="37" spans="1:33" s="10" customFormat="1" x14ac:dyDescent="0.2">
      <c r="A37" s="274" t="s">
        <v>110</v>
      </c>
      <c r="B37" s="360">
        <f>B34*$B$2</f>
        <v>1.8479999999999999</v>
      </c>
      <c r="C37" s="360">
        <f t="shared" ref="C37:AC37" si="14">C34*$B$2</f>
        <v>1.8479999999999999</v>
      </c>
      <c r="D37" s="360">
        <f t="shared" si="14"/>
        <v>1.8479999999999999</v>
      </c>
      <c r="E37" s="360">
        <f t="shared" si="14"/>
        <v>1.8479999999999999</v>
      </c>
      <c r="F37" s="360">
        <f t="shared" si="14"/>
        <v>1.8479999999999999</v>
      </c>
      <c r="G37" s="360">
        <f t="shared" si="14"/>
        <v>1.8479999999999999</v>
      </c>
      <c r="H37" s="360">
        <f t="shared" si="14"/>
        <v>2.1120000000000001</v>
      </c>
      <c r="I37" s="360">
        <f t="shared" si="14"/>
        <v>2.1120000000000001</v>
      </c>
      <c r="J37" s="360">
        <f t="shared" si="14"/>
        <v>2.1120000000000001</v>
      </c>
      <c r="K37" s="360">
        <f t="shared" si="14"/>
        <v>2.3760000000000003</v>
      </c>
      <c r="L37" s="360">
        <f t="shared" si="14"/>
        <v>2.3760000000000003</v>
      </c>
      <c r="M37" s="360">
        <f t="shared" si="14"/>
        <v>2.3760000000000003</v>
      </c>
      <c r="N37" s="360">
        <f t="shared" si="14"/>
        <v>2.64</v>
      </c>
      <c r="O37" s="360">
        <f t="shared" si="14"/>
        <v>2.64</v>
      </c>
      <c r="P37" s="360">
        <f t="shared" si="14"/>
        <v>2.64</v>
      </c>
      <c r="Q37" s="360">
        <f t="shared" si="14"/>
        <v>2.64</v>
      </c>
      <c r="R37" s="360">
        <f t="shared" si="14"/>
        <v>2.64</v>
      </c>
      <c r="S37" s="360">
        <f t="shared" si="14"/>
        <v>2.64</v>
      </c>
      <c r="T37" s="360">
        <f t="shared" si="14"/>
        <v>2.64</v>
      </c>
      <c r="U37" s="360">
        <f t="shared" si="14"/>
        <v>2.64</v>
      </c>
      <c r="V37" s="360">
        <f t="shared" si="14"/>
        <v>2.64</v>
      </c>
      <c r="W37" s="360">
        <f t="shared" si="14"/>
        <v>2.64</v>
      </c>
      <c r="X37" s="360">
        <f t="shared" si="14"/>
        <v>2.64</v>
      </c>
      <c r="Y37" s="360">
        <f t="shared" si="14"/>
        <v>2.64</v>
      </c>
      <c r="Z37" s="360">
        <f t="shared" si="14"/>
        <v>2.64</v>
      </c>
      <c r="AA37" s="360">
        <f t="shared" si="14"/>
        <v>2.64</v>
      </c>
      <c r="AB37" s="360">
        <f t="shared" si="14"/>
        <v>2.64</v>
      </c>
      <c r="AC37" s="360">
        <f t="shared" si="14"/>
        <v>1.8479999999999999</v>
      </c>
      <c r="AD37" s="139"/>
      <c r="AE37" s="11"/>
      <c r="AF37" s="11"/>
      <c r="AG37" s="130"/>
    </row>
    <row r="38" spans="1:33" s="181" customFormat="1" ht="12.75" x14ac:dyDescent="0.2">
      <c r="A38" s="178" t="s">
        <v>111</v>
      </c>
      <c r="B38" s="179"/>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278"/>
    </row>
    <row r="39" spans="1:33" x14ac:dyDescent="0.2">
      <c r="A39" s="352" t="s">
        <v>112</v>
      </c>
      <c r="B39" s="361">
        <f t="shared" ref="B39:AC41" si="15">B$36*$B118</f>
        <v>1.8479999999999999</v>
      </c>
      <c r="C39" s="361">
        <f t="shared" si="15"/>
        <v>1.8479999999999999</v>
      </c>
      <c r="D39" s="361">
        <f t="shared" si="15"/>
        <v>1.8479999999999999</v>
      </c>
      <c r="E39" s="361">
        <f t="shared" si="15"/>
        <v>1.8479999999999999</v>
      </c>
      <c r="F39" s="361">
        <f t="shared" si="15"/>
        <v>1.8479999999999999</v>
      </c>
      <c r="G39" s="361">
        <f t="shared" si="15"/>
        <v>1.8479999999999999</v>
      </c>
      <c r="H39" s="361">
        <f t="shared" si="15"/>
        <v>2.1120000000000001</v>
      </c>
      <c r="I39" s="361">
        <f t="shared" si="15"/>
        <v>2.1120000000000001</v>
      </c>
      <c r="J39" s="361">
        <f t="shared" si="15"/>
        <v>2.1120000000000001</v>
      </c>
      <c r="K39" s="361">
        <f t="shared" si="15"/>
        <v>2.3760000000000003</v>
      </c>
      <c r="L39" s="361">
        <f t="shared" si="15"/>
        <v>2.3760000000000003</v>
      </c>
      <c r="M39" s="361">
        <f t="shared" si="15"/>
        <v>2.3760000000000003</v>
      </c>
      <c r="N39" s="361">
        <f t="shared" si="15"/>
        <v>2.64</v>
      </c>
      <c r="O39" s="361">
        <f t="shared" si="15"/>
        <v>2.64</v>
      </c>
      <c r="P39" s="361">
        <f t="shared" si="15"/>
        <v>2.64</v>
      </c>
      <c r="Q39" s="361">
        <f t="shared" si="15"/>
        <v>2.64</v>
      </c>
      <c r="R39" s="361">
        <f t="shared" si="15"/>
        <v>2.64</v>
      </c>
      <c r="S39" s="361">
        <f t="shared" si="15"/>
        <v>2.64</v>
      </c>
      <c r="T39" s="361">
        <f t="shared" si="15"/>
        <v>2.64</v>
      </c>
      <c r="U39" s="361">
        <f t="shared" si="15"/>
        <v>2.64</v>
      </c>
      <c r="V39" s="361">
        <f t="shared" si="15"/>
        <v>2.64</v>
      </c>
      <c r="W39" s="361">
        <f t="shared" si="15"/>
        <v>2.64</v>
      </c>
      <c r="X39" s="361">
        <f t="shared" si="15"/>
        <v>2.64</v>
      </c>
      <c r="Y39" s="361">
        <f t="shared" si="15"/>
        <v>2.64</v>
      </c>
      <c r="Z39" s="361">
        <f t="shared" si="15"/>
        <v>2.64</v>
      </c>
      <c r="AA39" s="361">
        <f t="shared" si="15"/>
        <v>2.64</v>
      </c>
      <c r="AB39" s="361">
        <f t="shared" si="15"/>
        <v>2.64</v>
      </c>
      <c r="AC39" s="361">
        <f t="shared" si="15"/>
        <v>1.8479999999999999</v>
      </c>
      <c r="AD39" s="144"/>
      <c r="AE39" s="30"/>
      <c r="AF39" s="30"/>
      <c r="AG39" s="30"/>
    </row>
    <row r="40" spans="1:33" x14ac:dyDescent="0.2">
      <c r="A40" s="352" t="s">
        <v>113</v>
      </c>
      <c r="B40" s="361">
        <f t="shared" si="15"/>
        <v>1.8479999999999999</v>
      </c>
      <c r="C40" s="361">
        <f t="shared" si="15"/>
        <v>1.8479999999999999</v>
      </c>
      <c r="D40" s="361">
        <f t="shared" si="15"/>
        <v>1.8479999999999999</v>
      </c>
      <c r="E40" s="361">
        <f t="shared" si="15"/>
        <v>1.8479999999999999</v>
      </c>
      <c r="F40" s="361">
        <f t="shared" si="15"/>
        <v>1.8479999999999999</v>
      </c>
      <c r="G40" s="361">
        <f t="shared" si="15"/>
        <v>1.8479999999999999</v>
      </c>
      <c r="H40" s="361">
        <f t="shared" si="15"/>
        <v>2.1120000000000001</v>
      </c>
      <c r="I40" s="361">
        <f t="shared" si="15"/>
        <v>2.1120000000000001</v>
      </c>
      <c r="J40" s="361">
        <f t="shared" si="15"/>
        <v>2.1120000000000001</v>
      </c>
      <c r="K40" s="361">
        <f t="shared" si="15"/>
        <v>2.3760000000000003</v>
      </c>
      <c r="L40" s="361">
        <f t="shared" si="15"/>
        <v>2.3760000000000003</v>
      </c>
      <c r="M40" s="361">
        <f t="shared" si="15"/>
        <v>2.3760000000000003</v>
      </c>
      <c r="N40" s="361">
        <f t="shared" si="15"/>
        <v>2.64</v>
      </c>
      <c r="O40" s="361">
        <f t="shared" si="15"/>
        <v>2.64</v>
      </c>
      <c r="P40" s="361">
        <f t="shared" si="15"/>
        <v>2.64</v>
      </c>
      <c r="Q40" s="361">
        <f t="shared" si="15"/>
        <v>2.64</v>
      </c>
      <c r="R40" s="361">
        <f t="shared" si="15"/>
        <v>2.64</v>
      </c>
      <c r="S40" s="361">
        <f t="shared" si="15"/>
        <v>2.64</v>
      </c>
      <c r="T40" s="361">
        <f t="shared" si="15"/>
        <v>2.64</v>
      </c>
      <c r="U40" s="361">
        <f t="shared" si="15"/>
        <v>2.64</v>
      </c>
      <c r="V40" s="361">
        <f t="shared" si="15"/>
        <v>2.64</v>
      </c>
      <c r="W40" s="361">
        <f t="shared" si="15"/>
        <v>2.64</v>
      </c>
      <c r="X40" s="361">
        <f t="shared" si="15"/>
        <v>2.64</v>
      </c>
      <c r="Y40" s="361">
        <f t="shared" si="15"/>
        <v>2.64</v>
      </c>
      <c r="Z40" s="361">
        <f t="shared" si="15"/>
        <v>2.64</v>
      </c>
      <c r="AA40" s="361">
        <f t="shared" si="15"/>
        <v>2.64</v>
      </c>
      <c r="AB40" s="361">
        <f t="shared" si="15"/>
        <v>2.64</v>
      </c>
      <c r="AC40" s="361">
        <f t="shared" si="15"/>
        <v>1.8479999999999999</v>
      </c>
      <c r="AD40" s="144"/>
      <c r="AE40" s="30"/>
      <c r="AF40" s="30"/>
      <c r="AG40" s="30"/>
    </row>
    <row r="41" spans="1:33" x14ac:dyDescent="0.2">
      <c r="A41" s="352" t="s">
        <v>114</v>
      </c>
      <c r="B41" s="361">
        <f t="shared" si="15"/>
        <v>1.8479999999999999</v>
      </c>
      <c r="C41" s="361">
        <f t="shared" si="15"/>
        <v>1.8479999999999999</v>
      </c>
      <c r="D41" s="361">
        <f t="shared" si="15"/>
        <v>1.8479999999999999</v>
      </c>
      <c r="E41" s="361">
        <f t="shared" si="15"/>
        <v>1.8479999999999999</v>
      </c>
      <c r="F41" s="361">
        <f t="shared" si="15"/>
        <v>1.8479999999999999</v>
      </c>
      <c r="G41" s="361">
        <f t="shared" si="15"/>
        <v>1.8479999999999999</v>
      </c>
      <c r="H41" s="361">
        <f t="shared" si="15"/>
        <v>2.1120000000000001</v>
      </c>
      <c r="I41" s="361">
        <f t="shared" si="15"/>
        <v>2.1120000000000001</v>
      </c>
      <c r="J41" s="361">
        <f t="shared" si="15"/>
        <v>2.1120000000000001</v>
      </c>
      <c r="K41" s="361">
        <f t="shared" si="15"/>
        <v>2.3760000000000003</v>
      </c>
      <c r="L41" s="361">
        <f t="shared" si="15"/>
        <v>2.3760000000000003</v>
      </c>
      <c r="M41" s="361">
        <f t="shared" si="15"/>
        <v>2.3760000000000003</v>
      </c>
      <c r="N41" s="361">
        <f t="shared" si="15"/>
        <v>2.64</v>
      </c>
      <c r="O41" s="361">
        <f t="shared" si="15"/>
        <v>2.64</v>
      </c>
      <c r="P41" s="361">
        <f t="shared" si="15"/>
        <v>2.64</v>
      </c>
      <c r="Q41" s="361">
        <f t="shared" si="15"/>
        <v>2.64</v>
      </c>
      <c r="R41" s="361">
        <f t="shared" si="15"/>
        <v>2.64</v>
      </c>
      <c r="S41" s="361">
        <f t="shared" si="15"/>
        <v>2.64</v>
      </c>
      <c r="T41" s="361">
        <f t="shared" si="15"/>
        <v>2.64</v>
      </c>
      <c r="U41" s="361">
        <f t="shared" si="15"/>
        <v>2.64</v>
      </c>
      <c r="V41" s="361">
        <f t="shared" si="15"/>
        <v>2.64</v>
      </c>
      <c r="W41" s="361">
        <f t="shared" si="15"/>
        <v>2.64</v>
      </c>
      <c r="X41" s="361">
        <f t="shared" si="15"/>
        <v>2.64</v>
      </c>
      <c r="Y41" s="361">
        <f t="shared" si="15"/>
        <v>2.64</v>
      </c>
      <c r="Z41" s="361">
        <f t="shared" si="15"/>
        <v>2.64</v>
      </c>
      <c r="AA41" s="361">
        <f t="shared" si="15"/>
        <v>2.64</v>
      </c>
      <c r="AB41" s="361">
        <f t="shared" si="15"/>
        <v>2.64</v>
      </c>
      <c r="AC41" s="361">
        <f t="shared" si="15"/>
        <v>1.8479999999999999</v>
      </c>
      <c r="AD41" s="145"/>
      <c r="AE41" s="19"/>
      <c r="AF41" s="19"/>
      <c r="AG41" s="19"/>
    </row>
    <row r="42" spans="1:33" x14ac:dyDescent="0.2">
      <c r="A42" s="352" t="s">
        <v>115</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143"/>
      <c r="AE42" s="19"/>
      <c r="AF42" s="19"/>
      <c r="AG42" s="19"/>
    </row>
    <row r="43" spans="1:33" x14ac:dyDescent="0.2">
      <c r="A43" s="352" t="s">
        <v>116</v>
      </c>
      <c r="B43" s="361">
        <f t="shared" ref="B43:AC43" si="16">B$36*$B122</f>
        <v>1.8479999999999999</v>
      </c>
      <c r="C43" s="361">
        <f t="shared" si="16"/>
        <v>1.8479999999999999</v>
      </c>
      <c r="D43" s="361">
        <f t="shared" si="16"/>
        <v>1.8479999999999999</v>
      </c>
      <c r="E43" s="361">
        <f t="shared" si="16"/>
        <v>1.8479999999999999</v>
      </c>
      <c r="F43" s="361">
        <f t="shared" si="16"/>
        <v>1.8479999999999999</v>
      </c>
      <c r="G43" s="361">
        <f t="shared" si="16"/>
        <v>1.8479999999999999</v>
      </c>
      <c r="H43" s="361">
        <f t="shared" si="16"/>
        <v>2.1120000000000001</v>
      </c>
      <c r="I43" s="361">
        <f t="shared" si="16"/>
        <v>2.1120000000000001</v>
      </c>
      <c r="J43" s="361">
        <f t="shared" si="16"/>
        <v>2.1120000000000001</v>
      </c>
      <c r="K43" s="361">
        <f t="shared" si="16"/>
        <v>2.3760000000000003</v>
      </c>
      <c r="L43" s="361">
        <f t="shared" si="16"/>
        <v>2.3760000000000003</v>
      </c>
      <c r="M43" s="361">
        <f t="shared" si="16"/>
        <v>2.3760000000000003</v>
      </c>
      <c r="N43" s="361">
        <f t="shared" si="16"/>
        <v>2.64</v>
      </c>
      <c r="O43" s="361">
        <f t="shared" si="16"/>
        <v>2.64</v>
      </c>
      <c r="P43" s="361">
        <f t="shared" si="16"/>
        <v>2.64</v>
      </c>
      <c r="Q43" s="361">
        <f t="shared" si="16"/>
        <v>2.64</v>
      </c>
      <c r="R43" s="361">
        <f t="shared" si="16"/>
        <v>2.64</v>
      </c>
      <c r="S43" s="361">
        <f t="shared" si="16"/>
        <v>2.64</v>
      </c>
      <c r="T43" s="361">
        <f t="shared" si="16"/>
        <v>2.64</v>
      </c>
      <c r="U43" s="361">
        <f t="shared" si="16"/>
        <v>2.64</v>
      </c>
      <c r="V43" s="361">
        <f t="shared" si="16"/>
        <v>2.64</v>
      </c>
      <c r="W43" s="361">
        <f t="shared" si="16"/>
        <v>2.64</v>
      </c>
      <c r="X43" s="361">
        <f t="shared" si="16"/>
        <v>2.64</v>
      </c>
      <c r="Y43" s="361">
        <f t="shared" si="16"/>
        <v>2.64</v>
      </c>
      <c r="Z43" s="361">
        <f t="shared" si="16"/>
        <v>2.64</v>
      </c>
      <c r="AA43" s="361">
        <f t="shared" si="16"/>
        <v>2.64</v>
      </c>
      <c r="AB43" s="361">
        <f t="shared" si="16"/>
        <v>2.64</v>
      </c>
      <c r="AC43" s="361">
        <f t="shared" si="16"/>
        <v>1.8479999999999999</v>
      </c>
      <c r="AD43" s="144"/>
      <c r="AE43" s="30"/>
      <c r="AF43" s="30"/>
      <c r="AG43" s="30"/>
    </row>
    <row r="44" spans="1:33" x14ac:dyDescent="0.2">
      <c r="A44" s="352" t="s">
        <v>117</v>
      </c>
      <c r="B44" s="361">
        <f>IF(B13="Deploy",B$36,B$36*$B123)</f>
        <v>1.8479999999999999</v>
      </c>
      <c r="C44" s="361">
        <f t="shared" ref="C44:AC44" si="17">IF(C13="Deploy",C$36,C$36*$B123)</f>
        <v>1.8479999999999999</v>
      </c>
      <c r="D44" s="361">
        <f t="shared" si="17"/>
        <v>1.8479999999999999</v>
      </c>
      <c r="E44" s="361">
        <f t="shared" si="17"/>
        <v>1.8479999999999999</v>
      </c>
      <c r="F44" s="361">
        <f t="shared" si="17"/>
        <v>1.8479999999999999</v>
      </c>
      <c r="G44" s="361">
        <f t="shared" si="17"/>
        <v>1.8479999999999999</v>
      </c>
      <c r="H44" s="361">
        <f t="shared" si="17"/>
        <v>2.1120000000000001</v>
      </c>
      <c r="I44" s="361">
        <f t="shared" si="17"/>
        <v>2.1120000000000001</v>
      </c>
      <c r="J44" s="361">
        <f t="shared" si="17"/>
        <v>2.1120000000000001</v>
      </c>
      <c r="K44" s="361">
        <f t="shared" si="17"/>
        <v>2.3760000000000003</v>
      </c>
      <c r="L44" s="361">
        <f t="shared" si="17"/>
        <v>2.3760000000000003</v>
      </c>
      <c r="M44" s="361">
        <f t="shared" si="17"/>
        <v>2.3760000000000003</v>
      </c>
      <c r="N44" s="361">
        <f t="shared" si="17"/>
        <v>2.64</v>
      </c>
      <c r="O44" s="361">
        <f t="shared" si="17"/>
        <v>2.64</v>
      </c>
      <c r="P44" s="361">
        <f t="shared" si="17"/>
        <v>2.64</v>
      </c>
      <c r="Q44" s="361">
        <f t="shared" si="17"/>
        <v>2.64</v>
      </c>
      <c r="R44" s="361">
        <f t="shared" si="17"/>
        <v>8</v>
      </c>
      <c r="S44" s="361">
        <f t="shared" si="17"/>
        <v>8</v>
      </c>
      <c r="T44" s="361">
        <f t="shared" si="17"/>
        <v>8</v>
      </c>
      <c r="U44" s="361">
        <f t="shared" si="17"/>
        <v>8</v>
      </c>
      <c r="V44" s="361">
        <f t="shared" si="17"/>
        <v>8</v>
      </c>
      <c r="W44" s="361">
        <f t="shared" si="17"/>
        <v>8</v>
      </c>
      <c r="X44" s="361">
        <f t="shared" si="17"/>
        <v>2.64</v>
      </c>
      <c r="Y44" s="361">
        <f t="shared" si="17"/>
        <v>2.64</v>
      </c>
      <c r="Z44" s="361">
        <f t="shared" si="17"/>
        <v>2.64</v>
      </c>
      <c r="AA44" s="361">
        <f t="shared" si="17"/>
        <v>2.64</v>
      </c>
      <c r="AB44" s="361">
        <f t="shared" si="17"/>
        <v>2.64</v>
      </c>
      <c r="AC44" s="361">
        <f t="shared" si="17"/>
        <v>1.8479999999999999</v>
      </c>
    </row>
    <row r="45" spans="1:33" s="181" customFormat="1" x14ac:dyDescent="0.2">
      <c r="A45" s="385" t="s">
        <v>118</v>
      </c>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1"/>
      <c r="AE45" s="30"/>
    </row>
    <row r="46" spans="1:33" x14ac:dyDescent="0.2">
      <c r="A46" s="385" t="s">
        <v>119</v>
      </c>
      <c r="B46" s="361">
        <f t="shared" ref="B46:AC46" si="18">B$36*$B125</f>
        <v>5.6</v>
      </c>
      <c r="C46" s="361">
        <f t="shared" si="18"/>
        <v>5.6</v>
      </c>
      <c r="D46" s="361">
        <f t="shared" si="18"/>
        <v>5.6</v>
      </c>
      <c r="E46" s="361">
        <f t="shared" si="18"/>
        <v>5.6</v>
      </c>
      <c r="F46" s="361">
        <f t="shared" si="18"/>
        <v>5.6</v>
      </c>
      <c r="G46" s="361">
        <f t="shared" si="18"/>
        <v>5.6</v>
      </c>
      <c r="H46" s="361">
        <f t="shared" si="18"/>
        <v>6.4</v>
      </c>
      <c r="I46" s="361">
        <f t="shared" si="18"/>
        <v>6.4</v>
      </c>
      <c r="J46" s="361">
        <f t="shared" si="18"/>
        <v>6.4</v>
      </c>
      <c r="K46" s="361">
        <f t="shared" si="18"/>
        <v>7.2</v>
      </c>
      <c r="L46" s="361">
        <f t="shared" si="18"/>
        <v>7.2</v>
      </c>
      <c r="M46" s="361">
        <f t="shared" si="18"/>
        <v>7.2</v>
      </c>
      <c r="N46" s="361">
        <f t="shared" si="18"/>
        <v>8</v>
      </c>
      <c r="O46" s="361">
        <f t="shared" si="18"/>
        <v>8</v>
      </c>
      <c r="P46" s="361">
        <f t="shared" si="18"/>
        <v>8</v>
      </c>
      <c r="Q46" s="361">
        <f t="shared" si="18"/>
        <v>8</v>
      </c>
      <c r="R46" s="361">
        <f t="shared" si="18"/>
        <v>8</v>
      </c>
      <c r="S46" s="361">
        <f t="shared" si="18"/>
        <v>8</v>
      </c>
      <c r="T46" s="361">
        <f t="shared" si="18"/>
        <v>8</v>
      </c>
      <c r="U46" s="361">
        <f t="shared" si="18"/>
        <v>8</v>
      </c>
      <c r="V46" s="361">
        <f t="shared" si="18"/>
        <v>8</v>
      </c>
      <c r="W46" s="361">
        <f t="shared" si="18"/>
        <v>8</v>
      </c>
      <c r="X46" s="361">
        <f t="shared" si="18"/>
        <v>8</v>
      </c>
      <c r="Y46" s="361">
        <f t="shared" si="18"/>
        <v>8</v>
      </c>
      <c r="Z46" s="361">
        <f t="shared" si="18"/>
        <v>8</v>
      </c>
      <c r="AA46" s="361">
        <f t="shared" si="18"/>
        <v>8</v>
      </c>
      <c r="AB46" s="361">
        <f t="shared" si="18"/>
        <v>8</v>
      </c>
      <c r="AC46" s="361">
        <f t="shared" si="18"/>
        <v>5.6</v>
      </c>
      <c r="AE46" s="181"/>
      <c r="AF46" s="30"/>
      <c r="AG46" s="30"/>
    </row>
    <row r="47" spans="1:33" s="10" customFormat="1" ht="12.75" x14ac:dyDescent="0.2">
      <c r="A47" s="182" t="s">
        <v>120</v>
      </c>
      <c r="B47" s="183"/>
      <c r="C47" s="184"/>
      <c r="D47" s="184"/>
      <c r="E47" s="184"/>
      <c r="F47" s="184"/>
      <c r="G47" s="184"/>
      <c r="H47" s="184"/>
      <c r="I47" s="184"/>
      <c r="J47" s="185"/>
      <c r="K47" s="185"/>
      <c r="L47" s="184"/>
      <c r="M47" s="184"/>
      <c r="N47" s="186"/>
      <c r="O47" s="186"/>
      <c r="P47" s="187"/>
      <c r="Q47" s="184"/>
      <c r="R47" s="186"/>
      <c r="S47" s="186"/>
      <c r="T47" s="186"/>
      <c r="U47" s="186"/>
      <c r="V47" s="186"/>
      <c r="W47" s="186"/>
      <c r="X47" s="186"/>
      <c r="Y47" s="186"/>
      <c r="Z47" s="186"/>
      <c r="AA47" s="186"/>
      <c r="AB47" s="186"/>
      <c r="AC47" s="279"/>
      <c r="AD47" s="181"/>
      <c r="AF47" s="11"/>
      <c r="AG47" s="11"/>
    </row>
    <row r="48" spans="1:33" x14ac:dyDescent="0.2">
      <c r="A48" s="29" t="s">
        <v>121</v>
      </c>
      <c r="B48" s="116">
        <v>7</v>
      </c>
      <c r="C48" s="116">
        <v>7</v>
      </c>
      <c r="D48" s="116">
        <v>7</v>
      </c>
      <c r="E48" s="116">
        <v>7</v>
      </c>
      <c r="F48" s="116">
        <v>7</v>
      </c>
      <c r="G48" s="116">
        <v>7</v>
      </c>
      <c r="H48" s="116">
        <v>7</v>
      </c>
      <c r="I48" s="116">
        <v>7</v>
      </c>
      <c r="J48" s="116">
        <v>7</v>
      </c>
      <c r="K48" s="116">
        <v>7</v>
      </c>
      <c r="L48" s="116">
        <v>7</v>
      </c>
      <c r="M48" s="116">
        <v>7</v>
      </c>
      <c r="N48" s="116">
        <v>7</v>
      </c>
      <c r="O48" s="116">
        <v>7</v>
      </c>
      <c r="P48" s="116">
        <v>7</v>
      </c>
      <c r="Q48" s="116">
        <v>7</v>
      </c>
      <c r="R48" s="116">
        <v>7</v>
      </c>
      <c r="S48" s="116">
        <v>7</v>
      </c>
      <c r="T48" s="116">
        <v>7</v>
      </c>
      <c r="U48" s="116">
        <v>7</v>
      </c>
      <c r="V48" s="116">
        <v>7</v>
      </c>
      <c r="W48" s="116">
        <v>7</v>
      </c>
      <c r="X48" s="116">
        <v>7</v>
      </c>
      <c r="Y48" s="116">
        <v>7</v>
      </c>
      <c r="Z48" s="116">
        <v>7</v>
      </c>
      <c r="AA48" s="116">
        <v>7</v>
      </c>
      <c r="AB48" s="136">
        <v>7</v>
      </c>
      <c r="AC48" s="280">
        <v>7</v>
      </c>
      <c r="AD48" s="146"/>
    </row>
    <row r="49" spans="1:47" x14ac:dyDescent="0.2">
      <c r="A49" s="29" t="s">
        <v>122</v>
      </c>
      <c r="B49" s="32">
        <v>3</v>
      </c>
      <c r="C49" s="32">
        <v>3</v>
      </c>
      <c r="D49" s="32">
        <v>3</v>
      </c>
      <c r="E49" s="32">
        <v>3</v>
      </c>
      <c r="F49" s="32">
        <v>3</v>
      </c>
      <c r="G49" s="32">
        <v>3</v>
      </c>
      <c r="H49" s="32">
        <v>4</v>
      </c>
      <c r="I49" s="32">
        <v>4.5</v>
      </c>
      <c r="J49" s="32">
        <v>4.5</v>
      </c>
      <c r="K49" s="32">
        <v>5</v>
      </c>
      <c r="L49" s="32">
        <v>5</v>
      </c>
      <c r="M49" s="32">
        <v>5</v>
      </c>
      <c r="N49" s="32">
        <v>5</v>
      </c>
      <c r="O49" s="32">
        <v>5</v>
      </c>
      <c r="P49" s="32">
        <v>5</v>
      </c>
      <c r="Q49" s="32">
        <v>5</v>
      </c>
      <c r="R49" s="32">
        <v>6</v>
      </c>
      <c r="S49" s="32">
        <v>6</v>
      </c>
      <c r="T49" s="32">
        <v>6</v>
      </c>
      <c r="U49" s="32">
        <v>6</v>
      </c>
      <c r="V49" s="32">
        <v>6</v>
      </c>
      <c r="W49" s="32">
        <v>6</v>
      </c>
      <c r="X49" s="32">
        <v>5</v>
      </c>
      <c r="Y49" s="32">
        <v>4.5</v>
      </c>
      <c r="Z49" s="32">
        <v>4.5</v>
      </c>
      <c r="AA49" s="32">
        <v>4.5</v>
      </c>
      <c r="AB49" s="31">
        <v>4.5</v>
      </c>
      <c r="AC49" s="32">
        <v>3</v>
      </c>
      <c r="AD49" s="139"/>
    </row>
    <row r="50" spans="1:47" s="10" customFormat="1" ht="12.75" x14ac:dyDescent="0.2">
      <c r="A50" s="27" t="s">
        <v>123</v>
      </c>
      <c r="B50" s="26"/>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77"/>
      <c r="AD50" s="134"/>
    </row>
    <row r="51" spans="1:47" s="10" customFormat="1" x14ac:dyDescent="0.2">
      <c r="A51" s="24" t="s">
        <v>124</v>
      </c>
      <c r="B51" s="23">
        <f t="shared" ref="B51:AC51" si="19">$B$82</f>
        <v>16</v>
      </c>
      <c r="C51" s="23">
        <f t="shared" si="19"/>
        <v>16</v>
      </c>
      <c r="D51" s="23">
        <f t="shared" si="19"/>
        <v>16</v>
      </c>
      <c r="E51" s="23">
        <f t="shared" si="19"/>
        <v>16</v>
      </c>
      <c r="F51" s="23">
        <f t="shared" si="19"/>
        <v>16</v>
      </c>
      <c r="G51" s="23">
        <f t="shared" si="19"/>
        <v>16</v>
      </c>
      <c r="H51" s="23">
        <f t="shared" si="19"/>
        <v>16</v>
      </c>
      <c r="I51" s="23">
        <f t="shared" si="19"/>
        <v>16</v>
      </c>
      <c r="J51" s="23">
        <f t="shared" si="19"/>
        <v>16</v>
      </c>
      <c r="K51" s="23">
        <f t="shared" si="19"/>
        <v>16</v>
      </c>
      <c r="L51" s="23">
        <f t="shared" si="19"/>
        <v>16</v>
      </c>
      <c r="M51" s="23">
        <f t="shared" si="19"/>
        <v>16</v>
      </c>
      <c r="N51" s="23">
        <f t="shared" si="19"/>
        <v>16</v>
      </c>
      <c r="O51" s="23">
        <f t="shared" si="19"/>
        <v>16</v>
      </c>
      <c r="P51" s="23">
        <f t="shared" si="19"/>
        <v>16</v>
      </c>
      <c r="Q51" s="23">
        <f t="shared" si="19"/>
        <v>16</v>
      </c>
      <c r="R51" s="23">
        <f t="shared" si="19"/>
        <v>16</v>
      </c>
      <c r="S51" s="23">
        <f t="shared" si="19"/>
        <v>16</v>
      </c>
      <c r="T51" s="23">
        <f t="shared" si="19"/>
        <v>16</v>
      </c>
      <c r="U51" s="23">
        <f t="shared" si="19"/>
        <v>16</v>
      </c>
      <c r="V51" s="23">
        <f t="shared" si="19"/>
        <v>16</v>
      </c>
      <c r="W51" s="23">
        <f t="shared" si="19"/>
        <v>16</v>
      </c>
      <c r="X51" s="23">
        <f t="shared" si="19"/>
        <v>16</v>
      </c>
      <c r="Y51" s="23">
        <f t="shared" si="19"/>
        <v>16</v>
      </c>
      <c r="Z51" s="23">
        <f t="shared" si="19"/>
        <v>16</v>
      </c>
      <c r="AA51" s="23">
        <f t="shared" si="19"/>
        <v>16</v>
      </c>
      <c r="AB51" s="22">
        <f t="shared" si="19"/>
        <v>16</v>
      </c>
      <c r="AC51" s="281">
        <f t="shared" si="19"/>
        <v>16</v>
      </c>
      <c r="AD51" s="147"/>
    </row>
    <row r="52" spans="1:47" s="10" customFormat="1" x14ac:dyDescent="0.2">
      <c r="A52" s="33" t="s">
        <v>125</v>
      </c>
      <c r="B52" s="156">
        <f t="shared" ref="B52:AB52" si="20">IF(B76&lt;80,12,IF(AND(B76&gt;=80,B76&lt;90),14,$B$83))</f>
        <v>12</v>
      </c>
      <c r="C52" s="156">
        <f t="shared" si="20"/>
        <v>12</v>
      </c>
      <c r="D52" s="156">
        <f t="shared" si="20"/>
        <v>12</v>
      </c>
      <c r="E52" s="156">
        <f t="shared" si="20"/>
        <v>12</v>
      </c>
      <c r="F52" s="156">
        <f t="shared" si="20"/>
        <v>12</v>
      </c>
      <c r="G52" s="156">
        <f t="shared" si="20"/>
        <v>12</v>
      </c>
      <c r="H52" s="156">
        <f t="shared" si="20"/>
        <v>12</v>
      </c>
      <c r="I52" s="156">
        <f t="shared" si="20"/>
        <v>12</v>
      </c>
      <c r="J52" s="156">
        <f t="shared" si="20"/>
        <v>12</v>
      </c>
      <c r="K52" s="156">
        <f t="shared" si="20"/>
        <v>12</v>
      </c>
      <c r="L52" s="156">
        <f t="shared" si="20"/>
        <v>12</v>
      </c>
      <c r="M52" s="156">
        <f t="shared" si="20"/>
        <v>14</v>
      </c>
      <c r="N52" s="156">
        <f t="shared" si="20"/>
        <v>14</v>
      </c>
      <c r="O52" s="156">
        <f t="shared" si="20"/>
        <v>14</v>
      </c>
      <c r="P52" s="156">
        <f t="shared" si="20"/>
        <v>14</v>
      </c>
      <c r="Q52" s="156">
        <f t="shared" si="20"/>
        <v>14</v>
      </c>
      <c r="R52" s="156">
        <f t="shared" si="20"/>
        <v>16</v>
      </c>
      <c r="S52" s="156">
        <f t="shared" si="20"/>
        <v>16</v>
      </c>
      <c r="T52" s="156">
        <f t="shared" si="20"/>
        <v>16</v>
      </c>
      <c r="U52" s="156">
        <f t="shared" si="20"/>
        <v>16</v>
      </c>
      <c r="V52" s="156">
        <f t="shared" si="20"/>
        <v>16</v>
      </c>
      <c r="W52" s="156">
        <f t="shared" si="20"/>
        <v>16</v>
      </c>
      <c r="X52" s="156">
        <f t="shared" si="20"/>
        <v>16</v>
      </c>
      <c r="Y52" s="156">
        <f t="shared" si="20"/>
        <v>16</v>
      </c>
      <c r="Z52" s="156">
        <f t="shared" si="20"/>
        <v>14</v>
      </c>
      <c r="AA52" s="156">
        <f t="shared" si="20"/>
        <v>14</v>
      </c>
      <c r="AB52" s="157">
        <f t="shared" si="20"/>
        <v>14</v>
      </c>
      <c r="AC52" s="156">
        <f>IF(AC76&lt;80,12,IF(AND(AC76&gt;=80,AC76&lt;90),14,$B$83))</f>
        <v>12</v>
      </c>
      <c r="AD52" s="152"/>
    </row>
    <row r="53" spans="1:47" s="10" customFormat="1" x14ac:dyDescent="0.2">
      <c r="A53" s="33" t="s">
        <v>126</v>
      </c>
      <c r="B53" s="156">
        <f t="shared" ref="B53:AC53" si="21">ROUNDUP(IF(B$13="Deploy",MAX((B$76/100)*$B84,$B84),(B$76/100)*$B84),0)</f>
        <v>2</v>
      </c>
      <c r="C53" s="156">
        <f t="shared" si="21"/>
        <v>2</v>
      </c>
      <c r="D53" s="156">
        <f t="shared" si="21"/>
        <v>2</v>
      </c>
      <c r="E53" s="156">
        <f t="shared" si="21"/>
        <v>2</v>
      </c>
      <c r="F53" s="156">
        <f t="shared" si="21"/>
        <v>2</v>
      </c>
      <c r="G53" s="156">
        <f t="shared" si="21"/>
        <v>2</v>
      </c>
      <c r="H53" s="156">
        <f t="shared" si="21"/>
        <v>2</v>
      </c>
      <c r="I53" s="156">
        <f t="shared" si="21"/>
        <v>2</v>
      </c>
      <c r="J53" s="156">
        <f t="shared" si="21"/>
        <v>2</v>
      </c>
      <c r="K53" s="156">
        <f t="shared" si="21"/>
        <v>2</v>
      </c>
      <c r="L53" s="156">
        <f t="shared" si="21"/>
        <v>3</v>
      </c>
      <c r="M53" s="156">
        <f t="shared" si="21"/>
        <v>3</v>
      </c>
      <c r="N53" s="156">
        <f t="shared" si="21"/>
        <v>3</v>
      </c>
      <c r="O53" s="156">
        <f t="shared" si="21"/>
        <v>3</v>
      </c>
      <c r="P53" s="156">
        <f t="shared" si="21"/>
        <v>3</v>
      </c>
      <c r="Q53" s="156">
        <f t="shared" si="21"/>
        <v>3</v>
      </c>
      <c r="R53" s="156">
        <f t="shared" si="21"/>
        <v>3</v>
      </c>
      <c r="S53" s="156">
        <f t="shared" si="21"/>
        <v>3</v>
      </c>
      <c r="T53" s="156">
        <f t="shared" si="21"/>
        <v>3</v>
      </c>
      <c r="U53" s="156">
        <f t="shared" si="21"/>
        <v>3</v>
      </c>
      <c r="V53" s="156">
        <f t="shared" si="21"/>
        <v>3</v>
      </c>
      <c r="W53" s="156">
        <f t="shared" si="21"/>
        <v>3</v>
      </c>
      <c r="X53" s="156">
        <f t="shared" si="21"/>
        <v>3</v>
      </c>
      <c r="Y53" s="156">
        <f t="shared" si="21"/>
        <v>3</v>
      </c>
      <c r="Z53" s="156">
        <f t="shared" si="21"/>
        <v>3</v>
      </c>
      <c r="AA53" s="156">
        <f t="shared" si="21"/>
        <v>3</v>
      </c>
      <c r="AB53" s="157">
        <f t="shared" si="21"/>
        <v>3</v>
      </c>
      <c r="AC53" s="156">
        <f t="shared" si="21"/>
        <v>2</v>
      </c>
      <c r="AD53" s="152"/>
    </row>
    <row r="54" spans="1:47" s="10" customFormat="1" x14ac:dyDescent="0.2">
      <c r="A54" s="33" t="s">
        <v>127</v>
      </c>
      <c r="B54" s="156">
        <f t="shared" ref="B54:AC54" si="22">ROUNDUP(IF(B$13="Deploy",MAX((B$76/100)*$B85,$B85),(B$76/100)*$B85),0)</f>
        <v>2</v>
      </c>
      <c r="C54" s="156">
        <f t="shared" si="22"/>
        <v>2</v>
      </c>
      <c r="D54" s="156">
        <f t="shared" si="22"/>
        <v>2</v>
      </c>
      <c r="E54" s="156">
        <f t="shared" si="22"/>
        <v>2</v>
      </c>
      <c r="F54" s="156">
        <f t="shared" si="22"/>
        <v>2</v>
      </c>
      <c r="G54" s="156">
        <f t="shared" si="22"/>
        <v>2</v>
      </c>
      <c r="H54" s="156">
        <f t="shared" si="22"/>
        <v>3</v>
      </c>
      <c r="I54" s="156">
        <f t="shared" si="22"/>
        <v>3</v>
      </c>
      <c r="J54" s="156">
        <f t="shared" si="22"/>
        <v>4</v>
      </c>
      <c r="K54" s="156">
        <f t="shared" si="22"/>
        <v>4</v>
      </c>
      <c r="L54" s="156">
        <f t="shared" si="22"/>
        <v>4</v>
      </c>
      <c r="M54" s="156">
        <f t="shared" si="22"/>
        <v>5</v>
      </c>
      <c r="N54" s="156">
        <f t="shared" si="22"/>
        <v>5</v>
      </c>
      <c r="O54" s="156">
        <f t="shared" si="22"/>
        <v>5</v>
      </c>
      <c r="P54" s="156">
        <f t="shared" si="22"/>
        <v>5</v>
      </c>
      <c r="Q54" s="156">
        <f t="shared" si="22"/>
        <v>5</v>
      </c>
      <c r="R54" s="156">
        <f t="shared" si="22"/>
        <v>5</v>
      </c>
      <c r="S54" s="156">
        <f t="shared" si="22"/>
        <v>5</v>
      </c>
      <c r="T54" s="156">
        <f t="shared" si="22"/>
        <v>5</v>
      </c>
      <c r="U54" s="156">
        <f t="shared" si="22"/>
        <v>5</v>
      </c>
      <c r="V54" s="156">
        <f t="shared" si="22"/>
        <v>5</v>
      </c>
      <c r="W54" s="156">
        <f t="shared" si="22"/>
        <v>5</v>
      </c>
      <c r="X54" s="156">
        <f t="shared" si="22"/>
        <v>5</v>
      </c>
      <c r="Y54" s="156">
        <f t="shared" si="22"/>
        <v>5</v>
      </c>
      <c r="Z54" s="156">
        <f t="shared" si="22"/>
        <v>5</v>
      </c>
      <c r="AA54" s="156">
        <f t="shared" si="22"/>
        <v>5</v>
      </c>
      <c r="AB54" s="157">
        <f t="shared" si="22"/>
        <v>5</v>
      </c>
      <c r="AC54" s="156">
        <f t="shared" si="22"/>
        <v>2</v>
      </c>
      <c r="AD54" s="152"/>
    </row>
    <row r="55" spans="1:47" s="10" customFormat="1" x14ac:dyDescent="0.2">
      <c r="A55" s="33" t="s">
        <v>128</v>
      </c>
      <c r="B55" s="156">
        <f t="shared" ref="B55:AC55" si="23">ROUNDUP(IF(B$13="Deploy",MAX((B$76/100)*$B86,$B86),(B$76/100)*$B86),0)</f>
        <v>3</v>
      </c>
      <c r="C55" s="156">
        <f t="shared" si="23"/>
        <v>3</v>
      </c>
      <c r="D55" s="156">
        <f t="shared" si="23"/>
        <v>3</v>
      </c>
      <c r="E55" s="156">
        <f t="shared" si="23"/>
        <v>3</v>
      </c>
      <c r="F55" s="156">
        <f t="shared" si="23"/>
        <v>3</v>
      </c>
      <c r="G55" s="156">
        <f t="shared" si="23"/>
        <v>3</v>
      </c>
      <c r="H55" s="156">
        <f t="shared" si="23"/>
        <v>4</v>
      </c>
      <c r="I55" s="156">
        <f t="shared" si="23"/>
        <v>4</v>
      </c>
      <c r="J55" s="156">
        <f t="shared" si="23"/>
        <v>5</v>
      </c>
      <c r="K55" s="156">
        <f t="shared" si="23"/>
        <v>5</v>
      </c>
      <c r="L55" s="156">
        <f t="shared" si="23"/>
        <v>6</v>
      </c>
      <c r="M55" s="156">
        <f t="shared" si="23"/>
        <v>6</v>
      </c>
      <c r="N55" s="156">
        <f t="shared" si="23"/>
        <v>6</v>
      </c>
      <c r="O55" s="156">
        <f t="shared" si="23"/>
        <v>6</v>
      </c>
      <c r="P55" s="156">
        <f t="shared" si="23"/>
        <v>6</v>
      </c>
      <c r="Q55" s="156">
        <f t="shared" si="23"/>
        <v>6</v>
      </c>
      <c r="R55" s="156">
        <f t="shared" si="23"/>
        <v>7</v>
      </c>
      <c r="S55" s="156">
        <f t="shared" si="23"/>
        <v>7</v>
      </c>
      <c r="T55" s="156">
        <f t="shared" si="23"/>
        <v>7</v>
      </c>
      <c r="U55" s="156">
        <f t="shared" si="23"/>
        <v>7</v>
      </c>
      <c r="V55" s="156">
        <f t="shared" si="23"/>
        <v>7</v>
      </c>
      <c r="W55" s="156">
        <f t="shared" si="23"/>
        <v>7</v>
      </c>
      <c r="X55" s="156">
        <f t="shared" si="23"/>
        <v>7</v>
      </c>
      <c r="Y55" s="156">
        <f t="shared" si="23"/>
        <v>7</v>
      </c>
      <c r="Z55" s="156">
        <f t="shared" si="23"/>
        <v>6</v>
      </c>
      <c r="AA55" s="156">
        <f t="shared" si="23"/>
        <v>6</v>
      </c>
      <c r="AB55" s="157">
        <f t="shared" si="23"/>
        <v>6</v>
      </c>
      <c r="AC55" s="156">
        <f t="shared" si="23"/>
        <v>3</v>
      </c>
      <c r="AD55" s="152"/>
    </row>
    <row r="56" spans="1:47" s="10" customFormat="1" x14ac:dyDescent="0.2">
      <c r="A56" s="33" t="s">
        <v>129</v>
      </c>
      <c r="B56" s="156">
        <f t="shared" ref="B56:AC56" si="24">ROUNDUP(IF(B$13="Deploy",MAX((B$76/100)*$B87,$B87),(B$76/100)*$B87),0)</f>
        <v>5</v>
      </c>
      <c r="C56" s="156">
        <f t="shared" si="24"/>
        <v>5</v>
      </c>
      <c r="D56" s="156">
        <f t="shared" si="24"/>
        <v>5</v>
      </c>
      <c r="E56" s="156">
        <f t="shared" si="24"/>
        <v>5</v>
      </c>
      <c r="F56" s="156">
        <f t="shared" si="24"/>
        <v>5</v>
      </c>
      <c r="G56" s="156">
        <f t="shared" si="24"/>
        <v>5</v>
      </c>
      <c r="H56" s="156">
        <f t="shared" si="24"/>
        <v>6</v>
      </c>
      <c r="I56" s="156">
        <f t="shared" si="24"/>
        <v>7</v>
      </c>
      <c r="J56" s="156">
        <f t="shared" si="24"/>
        <v>8</v>
      </c>
      <c r="K56" s="156">
        <f t="shared" si="24"/>
        <v>8</v>
      </c>
      <c r="L56" s="156">
        <f t="shared" si="24"/>
        <v>9</v>
      </c>
      <c r="M56" s="156">
        <f t="shared" si="24"/>
        <v>11</v>
      </c>
      <c r="N56" s="156">
        <f t="shared" si="24"/>
        <v>11</v>
      </c>
      <c r="O56" s="156">
        <f t="shared" si="24"/>
        <v>11</v>
      </c>
      <c r="P56" s="156">
        <f t="shared" si="24"/>
        <v>11</v>
      </c>
      <c r="Q56" s="156">
        <f t="shared" si="24"/>
        <v>11</v>
      </c>
      <c r="R56" s="156">
        <f t="shared" si="24"/>
        <v>12</v>
      </c>
      <c r="S56" s="156">
        <f t="shared" si="24"/>
        <v>12</v>
      </c>
      <c r="T56" s="156">
        <f t="shared" si="24"/>
        <v>12</v>
      </c>
      <c r="U56" s="156">
        <f t="shared" si="24"/>
        <v>12</v>
      </c>
      <c r="V56" s="156">
        <f t="shared" si="24"/>
        <v>12</v>
      </c>
      <c r="W56" s="156">
        <f t="shared" si="24"/>
        <v>12</v>
      </c>
      <c r="X56" s="156">
        <f t="shared" si="24"/>
        <v>12</v>
      </c>
      <c r="Y56" s="156">
        <f t="shared" si="24"/>
        <v>11</v>
      </c>
      <c r="Z56" s="156">
        <f t="shared" si="24"/>
        <v>11</v>
      </c>
      <c r="AA56" s="156">
        <f t="shared" si="24"/>
        <v>11</v>
      </c>
      <c r="AB56" s="157">
        <f t="shared" si="24"/>
        <v>10</v>
      </c>
      <c r="AC56" s="156">
        <f t="shared" si="24"/>
        <v>5</v>
      </c>
      <c r="AD56" s="152"/>
    </row>
    <row r="57" spans="1:47" s="10" customFormat="1" x14ac:dyDescent="0.2">
      <c r="A57" s="33" t="s">
        <v>130</v>
      </c>
      <c r="B57" s="156">
        <f t="shared" ref="B57:AC57" si="25">ROUNDUP(IF(B$13="Deploy",MAX((B$76/100)*$B88,$B88),(B$76/100)*$B88),0)</f>
        <v>6</v>
      </c>
      <c r="C57" s="156">
        <f t="shared" si="25"/>
        <v>6</v>
      </c>
      <c r="D57" s="156">
        <f t="shared" si="25"/>
        <v>6</v>
      </c>
      <c r="E57" s="156">
        <f t="shared" si="25"/>
        <v>6</v>
      </c>
      <c r="F57" s="156">
        <f t="shared" si="25"/>
        <v>6</v>
      </c>
      <c r="G57" s="156">
        <f t="shared" si="25"/>
        <v>6</v>
      </c>
      <c r="H57" s="156">
        <f t="shared" si="25"/>
        <v>8</v>
      </c>
      <c r="I57" s="156">
        <f t="shared" si="25"/>
        <v>9</v>
      </c>
      <c r="J57" s="156">
        <f t="shared" si="25"/>
        <v>10</v>
      </c>
      <c r="K57" s="156">
        <f t="shared" si="25"/>
        <v>11</v>
      </c>
      <c r="L57" s="156">
        <f t="shared" si="25"/>
        <v>12</v>
      </c>
      <c r="M57" s="156">
        <f t="shared" si="25"/>
        <v>14</v>
      </c>
      <c r="N57" s="156">
        <f t="shared" si="25"/>
        <v>14</v>
      </c>
      <c r="O57" s="156">
        <f t="shared" si="25"/>
        <v>14</v>
      </c>
      <c r="P57" s="156">
        <f t="shared" si="25"/>
        <v>14</v>
      </c>
      <c r="Q57" s="156">
        <f t="shared" si="25"/>
        <v>14</v>
      </c>
      <c r="R57" s="156">
        <f t="shared" si="25"/>
        <v>16</v>
      </c>
      <c r="S57" s="156">
        <f t="shared" si="25"/>
        <v>16</v>
      </c>
      <c r="T57" s="156">
        <f t="shared" si="25"/>
        <v>16</v>
      </c>
      <c r="U57" s="156">
        <f t="shared" si="25"/>
        <v>16</v>
      </c>
      <c r="V57" s="156">
        <f t="shared" si="25"/>
        <v>16</v>
      </c>
      <c r="W57" s="156">
        <f t="shared" si="25"/>
        <v>16</v>
      </c>
      <c r="X57" s="156">
        <f t="shared" si="25"/>
        <v>16</v>
      </c>
      <c r="Y57" s="156">
        <f t="shared" si="25"/>
        <v>15</v>
      </c>
      <c r="Z57" s="156">
        <f t="shared" si="25"/>
        <v>14</v>
      </c>
      <c r="AA57" s="156">
        <f t="shared" si="25"/>
        <v>14</v>
      </c>
      <c r="AB57" s="157">
        <f t="shared" si="25"/>
        <v>13</v>
      </c>
      <c r="AC57" s="156">
        <f t="shared" si="25"/>
        <v>6</v>
      </c>
      <c r="AD57" s="152"/>
    </row>
    <row r="58" spans="1:47" s="10" customFormat="1" x14ac:dyDescent="0.2">
      <c r="A58" s="33" t="s">
        <v>131</v>
      </c>
      <c r="B58" s="198">
        <f>$B$89</f>
        <v>16</v>
      </c>
      <c r="C58" s="198">
        <f>$B89</f>
        <v>16</v>
      </c>
      <c r="D58" s="198">
        <f t="shared" ref="D58:AC58" si="26">$B89</f>
        <v>16</v>
      </c>
      <c r="E58" s="198">
        <f t="shared" si="26"/>
        <v>16</v>
      </c>
      <c r="F58" s="198">
        <f t="shared" si="26"/>
        <v>16</v>
      </c>
      <c r="G58" s="198">
        <f t="shared" si="26"/>
        <v>16</v>
      </c>
      <c r="H58" s="198">
        <f t="shared" si="26"/>
        <v>16</v>
      </c>
      <c r="I58" s="198">
        <f t="shared" si="26"/>
        <v>16</v>
      </c>
      <c r="J58" s="198">
        <f t="shared" si="26"/>
        <v>16</v>
      </c>
      <c r="K58" s="198">
        <f t="shared" si="26"/>
        <v>16</v>
      </c>
      <c r="L58" s="198">
        <f t="shared" si="26"/>
        <v>16</v>
      </c>
      <c r="M58" s="198">
        <f t="shared" si="26"/>
        <v>16</v>
      </c>
      <c r="N58" s="198">
        <f t="shared" si="26"/>
        <v>16</v>
      </c>
      <c r="O58" s="198">
        <f t="shared" si="26"/>
        <v>16</v>
      </c>
      <c r="P58" s="198">
        <f t="shared" si="26"/>
        <v>16</v>
      </c>
      <c r="Q58" s="198">
        <f t="shared" si="26"/>
        <v>16</v>
      </c>
      <c r="R58" s="198">
        <f t="shared" si="26"/>
        <v>16</v>
      </c>
      <c r="S58" s="198">
        <f t="shared" si="26"/>
        <v>16</v>
      </c>
      <c r="T58" s="198">
        <f t="shared" si="26"/>
        <v>16</v>
      </c>
      <c r="U58" s="198">
        <f t="shared" si="26"/>
        <v>16</v>
      </c>
      <c r="V58" s="198">
        <f t="shared" si="26"/>
        <v>16</v>
      </c>
      <c r="W58" s="198">
        <f t="shared" si="26"/>
        <v>16</v>
      </c>
      <c r="X58" s="198">
        <f t="shared" si="26"/>
        <v>16</v>
      </c>
      <c r="Y58" s="198">
        <f t="shared" si="26"/>
        <v>16</v>
      </c>
      <c r="Z58" s="198">
        <f t="shared" si="26"/>
        <v>16</v>
      </c>
      <c r="AA58" s="198">
        <f t="shared" si="26"/>
        <v>16</v>
      </c>
      <c r="AB58" s="198">
        <f t="shared" si="26"/>
        <v>16</v>
      </c>
      <c r="AC58" s="198">
        <f t="shared" si="26"/>
        <v>16</v>
      </c>
      <c r="AD58" s="152"/>
    </row>
    <row r="59" spans="1:47" s="14" customFormat="1" x14ac:dyDescent="0.2">
      <c r="A59" s="33" t="s">
        <v>132</v>
      </c>
      <c r="B59" s="156">
        <f t="shared" ref="B59:AB59" si="27">ROUNDUP(IF(B$13="Deploy",MAX((B$76/100)*$B90,$B90),(B$76/100)*$B90),0)</f>
        <v>2</v>
      </c>
      <c r="C59" s="156">
        <f t="shared" si="27"/>
        <v>2</v>
      </c>
      <c r="D59" s="156">
        <f t="shared" si="27"/>
        <v>2</v>
      </c>
      <c r="E59" s="156">
        <f t="shared" si="27"/>
        <v>2</v>
      </c>
      <c r="F59" s="156">
        <f t="shared" si="27"/>
        <v>2</v>
      </c>
      <c r="G59" s="156">
        <f t="shared" si="27"/>
        <v>2</v>
      </c>
      <c r="H59" s="156">
        <f t="shared" si="27"/>
        <v>2</v>
      </c>
      <c r="I59" s="156">
        <f t="shared" si="27"/>
        <v>3</v>
      </c>
      <c r="J59" s="156">
        <f t="shared" si="27"/>
        <v>3</v>
      </c>
      <c r="K59" s="156">
        <f t="shared" si="27"/>
        <v>3</v>
      </c>
      <c r="L59" s="156">
        <f t="shared" si="27"/>
        <v>3</v>
      </c>
      <c r="M59" s="156">
        <f t="shared" si="27"/>
        <v>4</v>
      </c>
      <c r="N59" s="156">
        <f t="shared" si="27"/>
        <v>4</v>
      </c>
      <c r="O59" s="156">
        <f t="shared" si="27"/>
        <v>4</v>
      </c>
      <c r="P59" s="156">
        <f t="shared" si="27"/>
        <v>4</v>
      </c>
      <c r="Q59" s="156">
        <f t="shared" si="27"/>
        <v>4</v>
      </c>
      <c r="R59" s="156">
        <f t="shared" si="27"/>
        <v>4</v>
      </c>
      <c r="S59" s="156">
        <f t="shared" si="27"/>
        <v>4</v>
      </c>
      <c r="T59" s="156">
        <f t="shared" si="27"/>
        <v>4</v>
      </c>
      <c r="U59" s="156">
        <f t="shared" si="27"/>
        <v>4</v>
      </c>
      <c r="V59" s="156">
        <f t="shared" si="27"/>
        <v>4</v>
      </c>
      <c r="W59" s="156">
        <f t="shared" si="27"/>
        <v>4</v>
      </c>
      <c r="X59" s="156">
        <f t="shared" si="27"/>
        <v>4</v>
      </c>
      <c r="Y59" s="156">
        <f t="shared" si="27"/>
        <v>4</v>
      </c>
      <c r="Z59" s="156">
        <f t="shared" si="27"/>
        <v>4</v>
      </c>
      <c r="AA59" s="156">
        <f t="shared" si="27"/>
        <v>4</v>
      </c>
      <c r="AB59" s="157">
        <f t="shared" si="27"/>
        <v>4</v>
      </c>
      <c r="AC59" s="156">
        <v>0</v>
      </c>
      <c r="AD59" s="152"/>
    </row>
    <row r="60" spans="1:47" s="254" customFormat="1" x14ac:dyDescent="0.2">
      <c r="A60" s="33" t="s">
        <v>133</v>
      </c>
      <c r="B60" s="156">
        <f t="shared" ref="B60:AB60" si="28">ROUNDUP(IF(B$13="Deploy",MAX((B$76/100)*$B91,$B91),(B$76/100)*$B91),0)</f>
        <v>2</v>
      </c>
      <c r="C60" s="156">
        <f t="shared" si="28"/>
        <v>2</v>
      </c>
      <c r="D60" s="156">
        <f t="shared" si="28"/>
        <v>2</v>
      </c>
      <c r="E60" s="156">
        <f t="shared" si="28"/>
        <v>2</v>
      </c>
      <c r="F60" s="156">
        <f t="shared" si="28"/>
        <v>2</v>
      </c>
      <c r="G60" s="156">
        <f t="shared" si="28"/>
        <v>2</v>
      </c>
      <c r="H60" s="156">
        <f t="shared" si="28"/>
        <v>2</v>
      </c>
      <c r="I60" s="156">
        <f t="shared" si="28"/>
        <v>3</v>
      </c>
      <c r="J60" s="156">
        <f t="shared" si="28"/>
        <v>3</v>
      </c>
      <c r="K60" s="156">
        <f t="shared" si="28"/>
        <v>3</v>
      </c>
      <c r="L60" s="156">
        <f t="shared" si="28"/>
        <v>3</v>
      </c>
      <c r="M60" s="156">
        <f t="shared" si="28"/>
        <v>4</v>
      </c>
      <c r="N60" s="156">
        <f t="shared" si="28"/>
        <v>4</v>
      </c>
      <c r="O60" s="156">
        <f t="shared" si="28"/>
        <v>4</v>
      </c>
      <c r="P60" s="156">
        <f t="shared" si="28"/>
        <v>4</v>
      </c>
      <c r="Q60" s="156">
        <f t="shared" si="28"/>
        <v>4</v>
      </c>
      <c r="R60" s="156">
        <f t="shared" si="28"/>
        <v>4</v>
      </c>
      <c r="S60" s="156">
        <f t="shared" si="28"/>
        <v>4</v>
      </c>
      <c r="T60" s="156">
        <f t="shared" si="28"/>
        <v>4</v>
      </c>
      <c r="U60" s="156">
        <f t="shared" si="28"/>
        <v>4</v>
      </c>
      <c r="V60" s="156">
        <f t="shared" si="28"/>
        <v>4</v>
      </c>
      <c r="W60" s="156">
        <f t="shared" si="28"/>
        <v>4</v>
      </c>
      <c r="X60" s="156">
        <f t="shared" si="28"/>
        <v>4</v>
      </c>
      <c r="Y60" s="156">
        <f t="shared" si="28"/>
        <v>4</v>
      </c>
      <c r="Z60" s="156">
        <f t="shared" si="28"/>
        <v>4</v>
      </c>
      <c r="AA60" s="156">
        <f t="shared" si="28"/>
        <v>4</v>
      </c>
      <c r="AB60" s="157">
        <f t="shared" si="28"/>
        <v>4</v>
      </c>
      <c r="AC60" s="156">
        <v>0</v>
      </c>
      <c r="AD60" s="152"/>
      <c r="AE60" s="266"/>
      <c r="AF60" s="266"/>
      <c r="AG60" s="266"/>
      <c r="AH60" s="266"/>
      <c r="AI60" s="266"/>
      <c r="AJ60" s="266"/>
      <c r="AK60" s="266"/>
      <c r="AL60" s="266"/>
      <c r="AM60" s="266"/>
      <c r="AN60" s="266"/>
      <c r="AO60" s="266"/>
      <c r="AP60" s="266"/>
      <c r="AQ60" s="266"/>
      <c r="AR60" s="266"/>
      <c r="AS60" s="266"/>
      <c r="AT60" s="266"/>
      <c r="AU60" s="266"/>
    </row>
    <row r="61" spans="1:47" s="270" customFormat="1" x14ac:dyDescent="0.2">
      <c r="A61" s="21" t="str">
        <f>A92</f>
        <v># Skilled Crews</v>
      </c>
      <c r="B61" s="20">
        <f t="shared" ref="B61:AB61" si="29">ROUNDUP(IF(B$13="Deploy",MAX((B$76/100)*$B92,$B92),(B$76/100)*$B92),0)</f>
        <v>5</v>
      </c>
      <c r="C61" s="20">
        <f t="shared" si="29"/>
        <v>5</v>
      </c>
      <c r="D61" s="20">
        <f t="shared" si="29"/>
        <v>5</v>
      </c>
      <c r="E61" s="20">
        <f t="shared" si="29"/>
        <v>5</v>
      </c>
      <c r="F61" s="20">
        <f t="shared" si="29"/>
        <v>5</v>
      </c>
      <c r="G61" s="20">
        <f t="shared" si="29"/>
        <v>5</v>
      </c>
      <c r="H61" s="20">
        <f t="shared" si="29"/>
        <v>6</v>
      </c>
      <c r="I61" s="20">
        <f t="shared" si="29"/>
        <v>7</v>
      </c>
      <c r="J61" s="20">
        <f t="shared" si="29"/>
        <v>8</v>
      </c>
      <c r="K61" s="20">
        <f t="shared" si="29"/>
        <v>8</v>
      </c>
      <c r="L61" s="20">
        <f t="shared" si="29"/>
        <v>9</v>
      </c>
      <c r="M61" s="20">
        <f t="shared" si="29"/>
        <v>11</v>
      </c>
      <c r="N61" s="20">
        <f t="shared" si="29"/>
        <v>11</v>
      </c>
      <c r="O61" s="20">
        <f t="shared" si="29"/>
        <v>11</v>
      </c>
      <c r="P61" s="20">
        <f t="shared" si="29"/>
        <v>11</v>
      </c>
      <c r="Q61" s="20">
        <f t="shared" si="29"/>
        <v>11</v>
      </c>
      <c r="R61" s="20">
        <f t="shared" si="29"/>
        <v>12</v>
      </c>
      <c r="S61" s="20">
        <f t="shared" si="29"/>
        <v>12</v>
      </c>
      <c r="T61" s="20">
        <f t="shared" si="29"/>
        <v>12</v>
      </c>
      <c r="U61" s="20">
        <f t="shared" si="29"/>
        <v>12</v>
      </c>
      <c r="V61" s="20">
        <f t="shared" si="29"/>
        <v>12</v>
      </c>
      <c r="W61" s="20">
        <f t="shared" si="29"/>
        <v>12</v>
      </c>
      <c r="X61" s="20">
        <f t="shared" si="29"/>
        <v>12</v>
      </c>
      <c r="Y61" s="20">
        <f t="shared" si="29"/>
        <v>11</v>
      </c>
      <c r="Z61" s="20">
        <f t="shared" si="29"/>
        <v>11</v>
      </c>
      <c r="AA61" s="20">
        <f t="shared" si="29"/>
        <v>11</v>
      </c>
      <c r="AB61" s="20">
        <f t="shared" si="29"/>
        <v>10</v>
      </c>
      <c r="AC61" s="20">
        <f>ROUNDUP(IF(AC$13="Deploy",MAX((AC$76/100)*$B92,$B92),(AC$76/100)*$B92),0)</f>
        <v>5</v>
      </c>
      <c r="AD61" s="14"/>
    </row>
    <row r="62" spans="1:47" s="254" customFormat="1" ht="12.75" x14ac:dyDescent="0.2">
      <c r="A62" s="182" t="s">
        <v>134</v>
      </c>
      <c r="B62" s="289"/>
      <c r="C62" s="290"/>
      <c r="D62" s="290"/>
      <c r="E62" s="290"/>
      <c r="F62" s="290"/>
      <c r="G62" s="291"/>
      <c r="H62" s="291"/>
      <c r="I62" s="291"/>
      <c r="J62" s="291"/>
      <c r="K62" s="291"/>
      <c r="L62" s="291"/>
      <c r="M62" s="291"/>
      <c r="N62" s="291"/>
      <c r="O62" s="291"/>
      <c r="P62" s="292"/>
      <c r="Q62" s="292"/>
      <c r="R62" s="293"/>
      <c r="S62" s="293"/>
      <c r="T62" s="293"/>
      <c r="U62" s="293"/>
      <c r="V62" s="293"/>
      <c r="W62" s="293"/>
      <c r="X62" s="293"/>
      <c r="Y62" s="293"/>
      <c r="Z62" s="293"/>
      <c r="AA62" s="293"/>
      <c r="AB62" s="293"/>
      <c r="AC62" s="294"/>
      <c r="AD62" s="266"/>
      <c r="AE62" s="266"/>
      <c r="AF62" s="266"/>
      <c r="AG62" s="266"/>
      <c r="AH62" s="266"/>
      <c r="AI62" s="266"/>
      <c r="AJ62" s="266"/>
      <c r="AK62" s="266"/>
      <c r="AL62" s="266"/>
      <c r="AM62" s="266"/>
      <c r="AN62" s="266"/>
      <c r="AO62" s="266"/>
      <c r="AP62" s="266"/>
      <c r="AQ62" s="266"/>
      <c r="AR62" s="266"/>
      <c r="AS62" s="266"/>
      <c r="AT62" s="266"/>
      <c r="AU62" s="266"/>
    </row>
    <row r="63" spans="1:47" s="254" customFormat="1" x14ac:dyDescent="0.2">
      <c r="A63" s="33" t="s">
        <v>135</v>
      </c>
      <c r="B63" s="295">
        <v>0.95</v>
      </c>
      <c r="C63" s="295">
        <v>0.95</v>
      </c>
      <c r="D63" s="295">
        <v>0.95</v>
      </c>
      <c r="E63" s="295">
        <v>0.95</v>
      </c>
      <c r="F63" s="295">
        <v>0.95</v>
      </c>
      <c r="G63" s="295">
        <v>0.95</v>
      </c>
      <c r="H63" s="295">
        <v>0.95</v>
      </c>
      <c r="I63" s="295">
        <v>0.95</v>
      </c>
      <c r="J63" s="295">
        <v>0.95</v>
      </c>
      <c r="K63" s="295">
        <v>0.95</v>
      </c>
      <c r="L63" s="295">
        <v>0.95</v>
      </c>
      <c r="M63" s="295">
        <v>0.95</v>
      </c>
      <c r="N63" s="295">
        <v>0.95</v>
      </c>
      <c r="O63" s="295">
        <v>0.95</v>
      </c>
      <c r="P63" s="295">
        <v>0.95</v>
      </c>
      <c r="Q63" s="295">
        <v>0.95</v>
      </c>
      <c r="R63" s="295">
        <v>0.95</v>
      </c>
      <c r="S63" s="295">
        <v>0.95</v>
      </c>
      <c r="T63" s="295">
        <v>0.95</v>
      </c>
      <c r="U63" s="295">
        <v>0.95</v>
      </c>
      <c r="V63" s="295">
        <v>0.95</v>
      </c>
      <c r="W63" s="295">
        <v>0.95</v>
      </c>
      <c r="X63" s="295">
        <v>0.95</v>
      </c>
      <c r="Y63" s="295">
        <v>0.95</v>
      </c>
      <c r="Z63" s="295">
        <v>0.95</v>
      </c>
      <c r="AA63" s="295">
        <v>0.95</v>
      </c>
      <c r="AB63" s="295">
        <v>0.95</v>
      </c>
      <c r="AC63" s="295">
        <v>0.95</v>
      </c>
      <c r="AD63" s="270"/>
      <c r="AE63" s="266"/>
      <c r="AF63" s="266"/>
      <c r="AG63" s="266"/>
      <c r="AH63" s="266"/>
      <c r="AI63" s="266"/>
      <c r="AJ63" s="266"/>
      <c r="AK63" s="266"/>
      <c r="AL63" s="266"/>
      <c r="AM63" s="266"/>
      <c r="AN63" s="266"/>
      <c r="AO63" s="266"/>
      <c r="AP63" s="266"/>
      <c r="AQ63" s="266"/>
      <c r="AR63" s="266"/>
      <c r="AS63" s="266"/>
      <c r="AT63" s="266"/>
      <c r="AU63" s="266"/>
    </row>
    <row r="64" spans="1:47" x14ac:dyDescent="0.2">
      <c r="A64" s="33" t="s">
        <v>136</v>
      </c>
      <c r="B64" s="272">
        <v>0.92</v>
      </c>
      <c r="C64" s="272">
        <v>0.92</v>
      </c>
      <c r="D64" s="272">
        <v>0.92</v>
      </c>
      <c r="E64" s="272">
        <v>0.92</v>
      </c>
      <c r="F64" s="272">
        <v>0.92</v>
      </c>
      <c r="G64" s="272">
        <v>0.92</v>
      </c>
      <c r="H64" s="272">
        <v>0.92</v>
      </c>
      <c r="I64" s="272">
        <v>0.92</v>
      </c>
      <c r="J64" s="272">
        <v>0.92</v>
      </c>
      <c r="K64" s="272">
        <v>0.92</v>
      </c>
      <c r="L64" s="272">
        <v>0.92</v>
      </c>
      <c r="M64" s="272">
        <v>0.92</v>
      </c>
      <c r="N64" s="272">
        <v>0.92</v>
      </c>
      <c r="O64" s="272">
        <v>0.92</v>
      </c>
      <c r="P64" s="272">
        <v>0.92</v>
      </c>
      <c r="Q64" s="272">
        <v>0.92</v>
      </c>
      <c r="R64" s="272">
        <v>0.92</v>
      </c>
      <c r="S64" s="272">
        <v>0.92</v>
      </c>
      <c r="T64" s="272">
        <v>0.92</v>
      </c>
      <c r="U64" s="272">
        <v>0.92</v>
      </c>
      <c r="V64" s="272">
        <v>0.92</v>
      </c>
      <c r="W64" s="272">
        <v>0.92</v>
      </c>
      <c r="X64" s="272">
        <v>0.92</v>
      </c>
      <c r="Y64" s="272">
        <v>0.92</v>
      </c>
      <c r="Z64" s="272">
        <v>0.92</v>
      </c>
      <c r="AA64" s="272">
        <v>0.92</v>
      </c>
      <c r="AB64" s="272">
        <v>0.92</v>
      </c>
      <c r="AC64" s="272">
        <v>0.92</v>
      </c>
      <c r="AD64" s="266"/>
      <c r="AE64" s="14"/>
      <c r="AF64" s="14"/>
      <c r="AG64" s="14"/>
      <c r="AH64" s="14"/>
      <c r="AI64" s="14"/>
      <c r="AJ64" s="14"/>
      <c r="AK64" s="14"/>
      <c r="AL64" s="14"/>
      <c r="AM64" s="14"/>
      <c r="AN64" s="14"/>
      <c r="AO64" s="14"/>
      <c r="AP64" s="14"/>
      <c r="AQ64" s="14"/>
    </row>
    <row r="65" spans="1:35" x14ac:dyDescent="0.2">
      <c r="A65" s="33" t="s">
        <v>137</v>
      </c>
      <c r="B65" s="272">
        <v>0.75</v>
      </c>
      <c r="C65" s="272">
        <v>0.75</v>
      </c>
      <c r="D65" s="272">
        <v>0.75</v>
      </c>
      <c r="E65" s="272">
        <v>0.75</v>
      </c>
      <c r="F65" s="272">
        <v>0.75</v>
      </c>
      <c r="G65" s="272">
        <v>0.75</v>
      </c>
      <c r="H65" s="272">
        <v>0.75</v>
      </c>
      <c r="I65" s="272">
        <v>0.75</v>
      </c>
      <c r="J65" s="272">
        <v>0.75</v>
      </c>
      <c r="K65" s="272">
        <v>0.75</v>
      </c>
      <c r="L65" s="272">
        <v>0.75</v>
      </c>
      <c r="M65" s="272">
        <v>0.75</v>
      </c>
      <c r="N65" s="272">
        <v>0.75</v>
      </c>
      <c r="O65" s="272">
        <v>0.75</v>
      </c>
      <c r="P65" s="272">
        <v>0.75</v>
      </c>
      <c r="Q65" s="272">
        <v>0.75</v>
      </c>
      <c r="R65" s="272">
        <v>0.75</v>
      </c>
      <c r="S65" s="272">
        <v>0.75</v>
      </c>
      <c r="T65" s="272">
        <v>0.75</v>
      </c>
      <c r="U65" s="272">
        <v>0.75</v>
      </c>
      <c r="V65" s="272">
        <v>0.75</v>
      </c>
      <c r="W65" s="272">
        <v>0.75</v>
      </c>
      <c r="X65" s="272">
        <v>0.75</v>
      </c>
      <c r="Y65" s="272">
        <v>0.75</v>
      </c>
      <c r="Z65" s="272">
        <v>0.75</v>
      </c>
      <c r="AA65" s="272">
        <v>0.75</v>
      </c>
      <c r="AB65" s="272">
        <v>0.75</v>
      </c>
      <c r="AC65" s="272">
        <v>0.75</v>
      </c>
      <c r="AD65" s="266"/>
    </row>
    <row r="66" spans="1:35" x14ac:dyDescent="0.2">
      <c r="AC66" s="13"/>
    </row>
    <row r="67" spans="1:35" s="81" customFormat="1" ht="15.75" customHeight="1" x14ac:dyDescent="0.2">
      <c r="A67" s="1"/>
      <c r="B67" s="10"/>
      <c r="C67" s="10"/>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5" x14ac:dyDescent="0.2">
      <c r="B68" s="10"/>
      <c r="C68" s="10"/>
      <c r="AH68" s="81"/>
      <c r="AI68" s="81"/>
    </row>
    <row r="69" spans="1:35" ht="12.75" thickBot="1" x14ac:dyDescent="0.25">
      <c r="A69" s="19"/>
      <c r="AC69" s="14"/>
      <c r="AE69" s="13"/>
      <c r="AF69" s="12"/>
      <c r="AG69" s="11"/>
      <c r="AH69" s="81"/>
      <c r="AI69" s="81"/>
    </row>
    <row r="70" spans="1:35" ht="13.5" thickBot="1" x14ac:dyDescent="0.25">
      <c r="A70" s="148" t="s">
        <v>138</v>
      </c>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50"/>
      <c r="AC70" s="150"/>
      <c r="AD70" s="151"/>
      <c r="AE70" s="13"/>
      <c r="AF70" s="12"/>
      <c r="AG70" s="11"/>
      <c r="AH70" s="81"/>
      <c r="AI70" s="81"/>
    </row>
    <row r="71" spans="1:35" x14ac:dyDescent="0.2">
      <c r="A71" s="79" t="s">
        <v>139</v>
      </c>
      <c r="B71" s="80">
        <f t="shared" ref="B71:AB71" si="30">MIN(100,B73+$B$77)</f>
        <v>45.901136923127005</v>
      </c>
      <c r="C71" s="80">
        <f t="shared" si="30"/>
        <v>45.901136923127005</v>
      </c>
      <c r="D71" s="80">
        <f t="shared" si="30"/>
        <v>45.901136923127005</v>
      </c>
      <c r="E71" s="80">
        <f t="shared" si="30"/>
        <v>45.901136923127005</v>
      </c>
      <c r="F71" s="80">
        <f t="shared" si="30"/>
        <v>45.901136923127005</v>
      </c>
      <c r="G71" s="80">
        <f t="shared" si="30"/>
        <v>53.901136923127005</v>
      </c>
      <c r="H71" s="80">
        <f t="shared" si="30"/>
        <v>55.901136923127005</v>
      </c>
      <c r="I71" s="80">
        <f t="shared" si="30"/>
        <v>55.901136923127005</v>
      </c>
      <c r="J71" s="80">
        <f t="shared" si="30"/>
        <v>65.901136923127012</v>
      </c>
      <c r="K71" s="80">
        <f t="shared" si="30"/>
        <v>90.901136923127012</v>
      </c>
      <c r="L71" s="80">
        <f t="shared" si="30"/>
        <v>100</v>
      </c>
      <c r="M71" s="80">
        <f t="shared" si="30"/>
        <v>100</v>
      </c>
      <c r="N71" s="80">
        <f t="shared" si="30"/>
        <v>100</v>
      </c>
      <c r="O71" s="80">
        <f t="shared" si="30"/>
        <v>100</v>
      </c>
      <c r="P71" s="80">
        <f t="shared" si="30"/>
        <v>100</v>
      </c>
      <c r="Q71" s="80">
        <f t="shared" si="30"/>
        <v>100</v>
      </c>
      <c r="R71" s="80">
        <f t="shared" si="30"/>
        <v>100</v>
      </c>
      <c r="S71" s="80">
        <f t="shared" si="30"/>
        <v>100</v>
      </c>
      <c r="T71" s="80">
        <f t="shared" si="30"/>
        <v>100</v>
      </c>
      <c r="U71" s="80">
        <f t="shared" si="30"/>
        <v>100</v>
      </c>
      <c r="V71" s="80">
        <f t="shared" si="30"/>
        <v>100</v>
      </c>
      <c r="W71" s="80">
        <f t="shared" si="30"/>
        <v>100</v>
      </c>
      <c r="X71" s="80">
        <f t="shared" si="30"/>
        <v>100</v>
      </c>
      <c r="Y71" s="80">
        <f t="shared" si="30"/>
        <v>100</v>
      </c>
      <c r="Z71" s="80">
        <f t="shared" si="30"/>
        <v>100</v>
      </c>
      <c r="AA71" s="80">
        <f t="shared" si="30"/>
        <v>100</v>
      </c>
      <c r="AB71" s="282">
        <f t="shared" si="30"/>
        <v>100</v>
      </c>
      <c r="AC71" s="286">
        <f>MIN(100,AC73+$B$77)</f>
        <v>45.901136923127005</v>
      </c>
      <c r="AD71" s="139"/>
      <c r="AE71" s="13"/>
      <c r="AF71" s="12"/>
      <c r="AG71" s="11"/>
      <c r="AH71" s="81"/>
      <c r="AI71" s="81"/>
    </row>
    <row r="72" spans="1:35" x14ac:dyDescent="0.2">
      <c r="A72" s="18" t="s">
        <v>140</v>
      </c>
      <c r="B72" s="17">
        <f t="shared" ref="B72:AB72" si="31">MIN(100,B73+$B$78)</f>
        <v>27.950568461563503</v>
      </c>
      <c r="C72" s="17">
        <f t="shared" si="31"/>
        <v>27.950568461563503</v>
      </c>
      <c r="D72" s="17">
        <f t="shared" si="31"/>
        <v>27.950568461563503</v>
      </c>
      <c r="E72" s="17">
        <f t="shared" si="31"/>
        <v>27.950568461563503</v>
      </c>
      <c r="F72" s="17">
        <f t="shared" si="31"/>
        <v>27.950568461563503</v>
      </c>
      <c r="G72" s="17">
        <f t="shared" si="31"/>
        <v>35.950568461563506</v>
      </c>
      <c r="H72" s="17">
        <f t="shared" si="31"/>
        <v>37.950568461563506</v>
      </c>
      <c r="I72" s="17">
        <f t="shared" si="31"/>
        <v>37.950568461563506</v>
      </c>
      <c r="J72" s="17">
        <f t="shared" si="31"/>
        <v>47.950568461563506</v>
      </c>
      <c r="K72" s="17">
        <f t="shared" si="31"/>
        <v>72.950568461563506</v>
      </c>
      <c r="L72" s="17">
        <f t="shared" si="31"/>
        <v>97.950568461563506</v>
      </c>
      <c r="M72" s="17">
        <f t="shared" si="31"/>
        <v>100</v>
      </c>
      <c r="N72" s="17">
        <f t="shared" si="31"/>
        <v>100</v>
      </c>
      <c r="O72" s="17">
        <f t="shared" si="31"/>
        <v>100</v>
      </c>
      <c r="P72" s="17">
        <f t="shared" si="31"/>
        <v>100</v>
      </c>
      <c r="Q72" s="17">
        <f t="shared" si="31"/>
        <v>100</v>
      </c>
      <c r="R72" s="17">
        <f t="shared" si="31"/>
        <v>100</v>
      </c>
      <c r="S72" s="17">
        <f t="shared" si="31"/>
        <v>100</v>
      </c>
      <c r="T72" s="17">
        <f t="shared" si="31"/>
        <v>100</v>
      </c>
      <c r="U72" s="17">
        <f t="shared" si="31"/>
        <v>100</v>
      </c>
      <c r="V72" s="17">
        <f t="shared" si="31"/>
        <v>100</v>
      </c>
      <c r="W72" s="17">
        <f t="shared" si="31"/>
        <v>100</v>
      </c>
      <c r="X72" s="17">
        <f t="shared" si="31"/>
        <v>100</v>
      </c>
      <c r="Y72" s="17">
        <f t="shared" si="31"/>
        <v>100</v>
      </c>
      <c r="Z72" s="17">
        <f t="shared" si="31"/>
        <v>100</v>
      </c>
      <c r="AA72" s="17">
        <f t="shared" si="31"/>
        <v>100</v>
      </c>
      <c r="AB72" s="283">
        <f t="shared" si="31"/>
        <v>98.950568461563506</v>
      </c>
      <c r="AC72" s="287">
        <f>MIN(100,AC73+$B$78)</f>
        <v>27.950568461563503</v>
      </c>
      <c r="AD72" s="139"/>
      <c r="AE72" s="13"/>
      <c r="AF72" s="12"/>
      <c r="AG72" s="11"/>
      <c r="AH72" s="81"/>
      <c r="AI72" s="81"/>
    </row>
    <row r="73" spans="1:35" x14ac:dyDescent="0.2">
      <c r="A73" s="18" t="s">
        <v>141</v>
      </c>
      <c r="B73" s="82">
        <v>10</v>
      </c>
      <c r="C73" s="82">
        <v>10</v>
      </c>
      <c r="D73" s="82">
        <v>10</v>
      </c>
      <c r="E73" s="82">
        <v>10</v>
      </c>
      <c r="F73" s="82">
        <v>10</v>
      </c>
      <c r="G73" s="82">
        <v>18</v>
      </c>
      <c r="H73" s="82">
        <v>20</v>
      </c>
      <c r="I73" s="82">
        <v>20</v>
      </c>
      <c r="J73" s="82">
        <v>30</v>
      </c>
      <c r="K73" s="82">
        <v>55</v>
      </c>
      <c r="L73" s="82">
        <v>80</v>
      </c>
      <c r="M73" s="82">
        <v>85</v>
      </c>
      <c r="N73" s="82">
        <v>85</v>
      </c>
      <c r="O73" s="82">
        <v>85</v>
      </c>
      <c r="P73" s="82">
        <v>85</v>
      </c>
      <c r="Q73" s="82">
        <v>85</v>
      </c>
      <c r="R73" s="82">
        <v>100</v>
      </c>
      <c r="S73" s="82">
        <v>100</v>
      </c>
      <c r="T73" s="82">
        <v>100</v>
      </c>
      <c r="U73" s="82">
        <v>100</v>
      </c>
      <c r="V73" s="82">
        <v>100</v>
      </c>
      <c r="W73" s="82">
        <v>100</v>
      </c>
      <c r="X73" s="82">
        <v>94</v>
      </c>
      <c r="Y73" s="82">
        <v>91</v>
      </c>
      <c r="Z73" s="82">
        <v>85</v>
      </c>
      <c r="AA73" s="82">
        <v>84</v>
      </c>
      <c r="AB73" s="284">
        <v>81</v>
      </c>
      <c r="AC73" s="177">
        <v>10</v>
      </c>
      <c r="AD73" s="119"/>
    </row>
    <row r="74" spans="1:35" x14ac:dyDescent="0.2">
      <c r="A74" s="18" t="s">
        <v>142</v>
      </c>
      <c r="B74" s="17">
        <f t="shared" ref="B74:AC74" si="32">MIN(80,IF(B13="Deploy",80,MAX(0,B73-$B$78)))</f>
        <v>0</v>
      </c>
      <c r="C74" s="17">
        <f t="shared" si="32"/>
        <v>0</v>
      </c>
      <c r="D74" s="17">
        <f t="shared" si="32"/>
        <v>0</v>
      </c>
      <c r="E74" s="17">
        <f t="shared" si="32"/>
        <v>0</v>
      </c>
      <c r="F74" s="17">
        <f t="shared" si="32"/>
        <v>0</v>
      </c>
      <c r="G74" s="17">
        <f t="shared" si="32"/>
        <v>4.9431538436497391E-2</v>
      </c>
      <c r="H74" s="17">
        <f t="shared" si="32"/>
        <v>2.0494315384364974</v>
      </c>
      <c r="I74" s="17">
        <f t="shared" si="32"/>
        <v>2.0494315384364974</v>
      </c>
      <c r="J74" s="17">
        <f t="shared" si="32"/>
        <v>12.049431538436497</v>
      </c>
      <c r="K74" s="17">
        <f t="shared" si="32"/>
        <v>37.049431538436494</v>
      </c>
      <c r="L74" s="17">
        <f t="shared" si="32"/>
        <v>62.049431538436494</v>
      </c>
      <c r="M74" s="17">
        <f t="shared" si="32"/>
        <v>67.049431538436494</v>
      </c>
      <c r="N74" s="17">
        <f t="shared" si="32"/>
        <v>67.049431538436494</v>
      </c>
      <c r="O74" s="17">
        <f t="shared" si="32"/>
        <v>67.049431538436494</v>
      </c>
      <c r="P74" s="17">
        <f t="shared" si="32"/>
        <v>67.049431538436494</v>
      </c>
      <c r="Q74" s="17">
        <f t="shared" si="32"/>
        <v>67.049431538436494</v>
      </c>
      <c r="R74" s="17">
        <f t="shared" si="32"/>
        <v>80</v>
      </c>
      <c r="S74" s="17">
        <f t="shared" si="32"/>
        <v>80</v>
      </c>
      <c r="T74" s="17">
        <f t="shared" si="32"/>
        <v>80</v>
      </c>
      <c r="U74" s="17">
        <f t="shared" si="32"/>
        <v>80</v>
      </c>
      <c r="V74" s="17">
        <f t="shared" si="32"/>
        <v>80</v>
      </c>
      <c r="W74" s="17">
        <f t="shared" si="32"/>
        <v>80</v>
      </c>
      <c r="X74" s="17">
        <f t="shared" si="32"/>
        <v>76.049431538436494</v>
      </c>
      <c r="Y74" s="17">
        <f t="shared" si="32"/>
        <v>73.049431538436494</v>
      </c>
      <c r="Z74" s="17">
        <f t="shared" si="32"/>
        <v>67.049431538436494</v>
      </c>
      <c r="AA74" s="17">
        <f t="shared" si="32"/>
        <v>66.049431538436494</v>
      </c>
      <c r="AB74" s="283">
        <f t="shared" si="32"/>
        <v>63.049431538436494</v>
      </c>
      <c r="AC74" s="287">
        <f t="shared" si="32"/>
        <v>0</v>
      </c>
      <c r="AD74" s="139"/>
      <c r="AE74" s="13"/>
      <c r="AF74" s="12"/>
      <c r="AG74" s="11"/>
      <c r="AH74" s="81"/>
      <c r="AI74" s="81"/>
    </row>
    <row r="75" spans="1:35" ht="12.75" thickBot="1" x14ac:dyDescent="0.25">
      <c r="A75" s="16" t="s">
        <v>143</v>
      </c>
      <c r="B75" s="15">
        <f t="shared" ref="B75:AC75" si="33">MIN(60,IF(B13="Deploy",60,MAX(0,B73-$B$77)))</f>
        <v>0</v>
      </c>
      <c r="C75" s="15">
        <f t="shared" si="33"/>
        <v>0</v>
      </c>
      <c r="D75" s="15">
        <f t="shared" si="33"/>
        <v>0</v>
      </c>
      <c r="E75" s="15">
        <f t="shared" si="33"/>
        <v>0</v>
      </c>
      <c r="F75" s="15">
        <f t="shared" si="33"/>
        <v>0</v>
      </c>
      <c r="G75" s="15">
        <f t="shared" si="33"/>
        <v>0</v>
      </c>
      <c r="H75" s="15">
        <f t="shared" si="33"/>
        <v>0</v>
      </c>
      <c r="I75" s="15">
        <f t="shared" si="33"/>
        <v>0</v>
      </c>
      <c r="J75" s="15">
        <f t="shared" si="33"/>
        <v>0</v>
      </c>
      <c r="K75" s="15">
        <f t="shared" si="33"/>
        <v>19.098863076872995</v>
      </c>
      <c r="L75" s="15">
        <f t="shared" si="33"/>
        <v>44.098863076872995</v>
      </c>
      <c r="M75" s="15">
        <f t="shared" si="33"/>
        <v>49.098863076872995</v>
      </c>
      <c r="N75" s="15">
        <f t="shared" si="33"/>
        <v>49.098863076872995</v>
      </c>
      <c r="O75" s="15">
        <f t="shared" si="33"/>
        <v>49.098863076872995</v>
      </c>
      <c r="P75" s="15">
        <f t="shared" si="33"/>
        <v>49.098863076872995</v>
      </c>
      <c r="Q75" s="15">
        <f t="shared" si="33"/>
        <v>49.098863076872995</v>
      </c>
      <c r="R75" s="15">
        <f t="shared" si="33"/>
        <v>60</v>
      </c>
      <c r="S75" s="15">
        <f t="shared" si="33"/>
        <v>60</v>
      </c>
      <c r="T75" s="15">
        <f t="shared" si="33"/>
        <v>60</v>
      </c>
      <c r="U75" s="15">
        <f t="shared" si="33"/>
        <v>60</v>
      </c>
      <c r="V75" s="15">
        <f t="shared" si="33"/>
        <v>60</v>
      </c>
      <c r="W75" s="15">
        <f t="shared" si="33"/>
        <v>60</v>
      </c>
      <c r="X75" s="15">
        <f t="shared" si="33"/>
        <v>58.098863076872995</v>
      </c>
      <c r="Y75" s="15">
        <f t="shared" si="33"/>
        <v>55.098863076872995</v>
      </c>
      <c r="Z75" s="15">
        <f t="shared" si="33"/>
        <v>49.098863076872995</v>
      </c>
      <c r="AA75" s="15">
        <f t="shared" si="33"/>
        <v>48.098863076872995</v>
      </c>
      <c r="AB75" s="285">
        <f t="shared" si="33"/>
        <v>45.098863076872995</v>
      </c>
      <c r="AC75" s="288">
        <f t="shared" si="33"/>
        <v>0</v>
      </c>
      <c r="AD75" s="139"/>
      <c r="AH75" s="81"/>
      <c r="AI75" s="81"/>
    </row>
    <row r="76" spans="1:35" ht="12.75" thickBot="1" x14ac:dyDescent="0.25">
      <c r="A76" s="117" t="s">
        <v>144</v>
      </c>
      <c r="B76" s="118">
        <v>37</v>
      </c>
      <c r="C76" s="118">
        <v>37</v>
      </c>
      <c r="D76" s="118">
        <v>37</v>
      </c>
      <c r="E76" s="118">
        <v>37</v>
      </c>
      <c r="F76" s="118">
        <v>37</v>
      </c>
      <c r="G76" s="118">
        <v>37</v>
      </c>
      <c r="H76" s="118">
        <v>46</v>
      </c>
      <c r="I76" s="118">
        <v>54</v>
      </c>
      <c r="J76" s="118">
        <v>61</v>
      </c>
      <c r="K76" s="118">
        <v>63</v>
      </c>
      <c r="L76" s="118">
        <v>75</v>
      </c>
      <c r="M76" s="118">
        <v>85</v>
      </c>
      <c r="N76" s="118">
        <v>85</v>
      </c>
      <c r="O76" s="118">
        <v>85</v>
      </c>
      <c r="P76" s="118">
        <v>85</v>
      </c>
      <c r="Q76" s="118">
        <v>85</v>
      </c>
      <c r="R76" s="118">
        <v>100</v>
      </c>
      <c r="S76" s="118">
        <v>100</v>
      </c>
      <c r="T76" s="118">
        <v>100</v>
      </c>
      <c r="U76" s="118">
        <v>100</v>
      </c>
      <c r="V76" s="118">
        <v>100</v>
      </c>
      <c r="W76" s="118">
        <v>100</v>
      </c>
      <c r="X76" s="118">
        <v>94</v>
      </c>
      <c r="Y76" s="118">
        <v>91</v>
      </c>
      <c r="Z76" s="118">
        <v>85</v>
      </c>
      <c r="AA76" s="118">
        <v>84</v>
      </c>
      <c r="AB76" s="120">
        <v>81</v>
      </c>
      <c r="AC76" s="159">
        <v>37</v>
      </c>
      <c r="AD76" s="119"/>
      <c r="AH76" s="81"/>
      <c r="AI76" s="81"/>
    </row>
    <row r="77" spans="1:35" s="81" customFormat="1" x14ac:dyDescent="0.2">
      <c r="A77" s="83" t="s">
        <v>145</v>
      </c>
      <c r="B77" s="84">
        <f t="array" ref="B77">SQRT(SUM(POWER(AVERAGE(B73:AB73)-(B73:AB73),2))/COUNT(B73:AB73))*1</f>
        <v>35.901136923127005</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5" s="81" customFormat="1" ht="12.75" thickBot="1" x14ac:dyDescent="0.25">
      <c r="A78" s="85" t="s">
        <v>146</v>
      </c>
      <c r="B78" s="86">
        <f>B77/2</f>
        <v>17.950568461563503</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5" ht="12.75" thickBo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D79" s="10"/>
      <c r="AH79" s="81"/>
      <c r="AI79" s="81"/>
    </row>
    <row r="80" spans="1:35" ht="13.5" thickBot="1" x14ac:dyDescent="0.25">
      <c r="A80" s="446" t="s">
        <v>147</v>
      </c>
      <c r="B80" s="447"/>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D80" s="81"/>
      <c r="AH80" s="81"/>
      <c r="AI80" s="81"/>
    </row>
    <row r="81" spans="1:35" ht="12.75" thickBot="1" x14ac:dyDescent="0.25">
      <c r="A81" s="448" t="s">
        <v>148</v>
      </c>
      <c r="B81" s="449"/>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D81" s="81"/>
      <c r="AH81" s="81"/>
      <c r="AI81" s="81"/>
    </row>
    <row r="82" spans="1:35" x14ac:dyDescent="0.2">
      <c r="A82" s="5" t="s">
        <v>124</v>
      </c>
      <c r="B82" s="9">
        <v>16</v>
      </c>
      <c r="AH82" s="81"/>
      <c r="AI82" s="81"/>
    </row>
    <row r="83" spans="1:35" x14ac:dyDescent="0.2">
      <c r="A83" s="4" t="s">
        <v>125</v>
      </c>
      <c r="B83" s="8">
        <v>16</v>
      </c>
      <c r="AH83" s="81"/>
      <c r="AI83" s="81"/>
    </row>
    <row r="84" spans="1:35" x14ac:dyDescent="0.2">
      <c r="A84" s="4" t="s">
        <v>149</v>
      </c>
      <c r="B84" s="8">
        <v>3</v>
      </c>
      <c r="AH84" s="81"/>
      <c r="AI84" s="81"/>
    </row>
    <row r="85" spans="1:35" x14ac:dyDescent="0.2">
      <c r="A85" s="4" t="s">
        <v>127</v>
      </c>
      <c r="B85" s="7">
        <v>5</v>
      </c>
      <c r="AH85" s="81"/>
      <c r="AI85" s="81"/>
    </row>
    <row r="86" spans="1:35" x14ac:dyDescent="0.2">
      <c r="A86" s="4" t="s">
        <v>128</v>
      </c>
      <c r="B86" s="7">
        <v>7</v>
      </c>
      <c r="AH86" s="81"/>
      <c r="AI86" s="81"/>
    </row>
    <row r="87" spans="1:35" x14ac:dyDescent="0.2">
      <c r="A87" s="4" t="s">
        <v>129</v>
      </c>
      <c r="B87" s="7">
        <v>12</v>
      </c>
      <c r="AH87" s="81"/>
      <c r="AI87" s="81"/>
    </row>
    <row r="88" spans="1:35" x14ac:dyDescent="0.2">
      <c r="A88" s="4" t="s">
        <v>130</v>
      </c>
      <c r="B88" s="7">
        <v>16</v>
      </c>
      <c r="AH88" s="81"/>
      <c r="AI88" s="81"/>
    </row>
    <row r="89" spans="1:35" s="81" customFormat="1" x14ac:dyDescent="0.2">
      <c r="A89" s="4" t="s">
        <v>131</v>
      </c>
      <c r="B89" s="7">
        <v>16</v>
      </c>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5" x14ac:dyDescent="0.2">
      <c r="A90" s="4" t="s">
        <v>150</v>
      </c>
      <c r="B90" s="7">
        <v>4</v>
      </c>
    </row>
    <row r="91" spans="1:35" x14ac:dyDescent="0.2">
      <c r="A91" s="4" t="s">
        <v>133</v>
      </c>
      <c r="B91" s="7">
        <v>4</v>
      </c>
      <c r="AH91" s="81"/>
      <c r="AI91" s="81"/>
    </row>
    <row r="92" spans="1:35" ht="12.75" thickBot="1" x14ac:dyDescent="0.25">
      <c r="A92" s="3" t="s">
        <v>151</v>
      </c>
      <c r="B92" s="6">
        <v>12</v>
      </c>
    </row>
    <row r="93" spans="1:35" ht="12.75" thickBot="1" x14ac:dyDescent="0.25"/>
    <row r="94" spans="1:35" ht="13.5" thickBot="1" x14ac:dyDescent="0.25">
      <c r="A94" s="446" t="s">
        <v>152</v>
      </c>
      <c r="B94" s="454"/>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2"/>
      <c r="AC94" s="102"/>
      <c r="AD94" s="11"/>
    </row>
    <row r="95" spans="1:35" x14ac:dyDescent="0.2">
      <c r="A95" s="87" t="s">
        <v>153</v>
      </c>
      <c r="B95" s="99" t="s">
        <v>154</v>
      </c>
      <c r="C95" s="99" t="s">
        <v>154</v>
      </c>
      <c r="D95" s="99" t="s">
        <v>154</v>
      </c>
      <c r="E95" s="99" t="s">
        <v>154</v>
      </c>
      <c r="F95" s="99" t="s">
        <v>154</v>
      </c>
      <c r="G95" s="99" t="s">
        <v>154</v>
      </c>
      <c r="H95" s="99" t="s">
        <v>154</v>
      </c>
      <c r="I95" s="99" t="s">
        <v>154</v>
      </c>
      <c r="J95" s="99"/>
      <c r="K95" s="99" t="s">
        <v>154</v>
      </c>
      <c r="L95" s="99"/>
      <c r="M95" s="99"/>
      <c r="N95" s="99" t="s">
        <v>154</v>
      </c>
      <c r="O95" s="99" t="s">
        <v>154</v>
      </c>
      <c r="P95" s="99"/>
      <c r="Q95" s="99"/>
      <c r="R95" s="99"/>
      <c r="S95" s="99"/>
      <c r="T95" s="99"/>
      <c r="U95" s="99"/>
      <c r="V95" s="99"/>
      <c r="W95" s="99"/>
      <c r="X95" s="99"/>
      <c r="Y95" s="99" t="s">
        <v>154</v>
      </c>
      <c r="Z95" s="99" t="s">
        <v>154</v>
      </c>
      <c r="AA95" s="99" t="s">
        <v>154</v>
      </c>
      <c r="AB95" s="100" t="s">
        <v>154</v>
      </c>
      <c r="AC95" s="100" t="s">
        <v>154</v>
      </c>
      <c r="AD95" s="153"/>
    </row>
    <row r="96" spans="1:35" ht="12.75" thickBot="1" x14ac:dyDescent="0.25">
      <c r="A96" s="75" t="s">
        <v>155</v>
      </c>
      <c r="B96" s="76"/>
      <c r="C96" s="76"/>
      <c r="D96" s="76"/>
      <c r="E96" s="76"/>
      <c r="F96" s="76"/>
      <c r="G96" s="76"/>
      <c r="H96" s="76"/>
      <c r="I96" s="76"/>
      <c r="J96" s="76" t="s">
        <v>154</v>
      </c>
      <c r="K96" s="76"/>
      <c r="L96" s="76" t="s">
        <v>154</v>
      </c>
      <c r="M96" s="76" t="s">
        <v>154</v>
      </c>
      <c r="N96" s="76"/>
      <c r="O96" s="76"/>
      <c r="P96" s="76" t="s">
        <v>154</v>
      </c>
      <c r="Q96" s="76" t="s">
        <v>154</v>
      </c>
      <c r="R96" s="76" t="s">
        <v>154</v>
      </c>
      <c r="S96" s="76" t="s">
        <v>154</v>
      </c>
      <c r="T96" s="76" t="s">
        <v>154</v>
      </c>
      <c r="U96" s="76" t="s">
        <v>154</v>
      </c>
      <c r="V96" s="76" t="s">
        <v>154</v>
      </c>
      <c r="W96" s="76" t="s">
        <v>154</v>
      </c>
      <c r="X96" s="76" t="s">
        <v>154</v>
      </c>
      <c r="Y96" s="76"/>
      <c r="Z96" s="76"/>
      <c r="AA96" s="76"/>
      <c r="AB96" s="76"/>
      <c r="AC96" s="2"/>
      <c r="AD96" s="153"/>
    </row>
    <row r="97" spans="1:9" ht="12.75" thickBot="1" x14ac:dyDescent="0.25"/>
    <row r="98" spans="1:9" ht="12.75" x14ac:dyDescent="0.2">
      <c r="A98" s="160" t="s">
        <v>156</v>
      </c>
      <c r="B98" s="450" t="s">
        <v>157</v>
      </c>
      <c r="C98" s="450"/>
      <c r="D98" s="451" t="s">
        <v>158</v>
      </c>
      <c r="E98" s="451"/>
      <c r="F98" s="452" t="s">
        <v>159</v>
      </c>
      <c r="G98" s="453"/>
      <c r="I98" s="332" t="s">
        <v>29</v>
      </c>
    </row>
    <row r="99" spans="1:9" ht="12.75" x14ac:dyDescent="0.2">
      <c r="A99" s="161" t="s">
        <v>160</v>
      </c>
      <c r="B99" s="162"/>
      <c r="C99" s="162"/>
      <c r="D99" s="162"/>
      <c r="E99" s="162"/>
      <c r="F99" s="162"/>
      <c r="G99" s="163"/>
      <c r="I99" s="334" t="s">
        <v>161</v>
      </c>
    </row>
    <row r="100" spans="1:9" x14ac:dyDescent="0.2">
      <c r="A100" s="164" t="s">
        <v>162</v>
      </c>
      <c r="B100" s="165">
        <v>10</v>
      </c>
      <c r="C100" s="165">
        <v>10</v>
      </c>
      <c r="D100" s="166">
        <v>9</v>
      </c>
      <c r="E100" s="166">
        <v>7</v>
      </c>
      <c r="F100" s="167">
        <v>6</v>
      </c>
      <c r="G100" s="168">
        <v>0</v>
      </c>
    </row>
    <row r="101" spans="1:9" x14ac:dyDescent="0.2">
      <c r="A101" s="164" t="s">
        <v>163</v>
      </c>
      <c r="B101" s="165">
        <v>10</v>
      </c>
      <c r="C101" s="165">
        <v>7</v>
      </c>
      <c r="D101" s="166">
        <v>6</v>
      </c>
      <c r="E101" s="166">
        <v>5</v>
      </c>
      <c r="F101" s="167">
        <v>4</v>
      </c>
      <c r="G101" s="168">
        <v>0</v>
      </c>
    </row>
    <row r="102" spans="1:9" x14ac:dyDescent="0.2">
      <c r="A102" s="161" t="s">
        <v>111</v>
      </c>
      <c r="B102" s="169"/>
      <c r="C102" s="170"/>
      <c r="D102" s="170"/>
      <c r="E102" s="170"/>
      <c r="F102" s="170"/>
      <c r="G102" s="171"/>
    </row>
    <row r="103" spans="1:9" x14ac:dyDescent="0.2">
      <c r="A103" s="164" t="str">
        <f>A39</f>
        <v>Ready F-35C USN Countermeasures Mission Systems (C)</v>
      </c>
      <c r="B103" s="165">
        <v>10</v>
      </c>
      <c r="C103" s="165">
        <v>7</v>
      </c>
      <c r="D103" s="166">
        <v>6</v>
      </c>
      <c r="E103" s="166">
        <v>5</v>
      </c>
      <c r="F103" s="167">
        <v>4</v>
      </c>
      <c r="G103" s="168">
        <v>0</v>
      </c>
    </row>
    <row r="104" spans="1:9" x14ac:dyDescent="0.2">
      <c r="A104" s="164" t="str">
        <f t="shared" ref="A104:A110" si="34">A40</f>
        <v>Ready F-35C USN Air to Air Mission Systems (D)</v>
      </c>
      <c r="B104" s="165">
        <v>10</v>
      </c>
      <c r="C104" s="165">
        <v>7</v>
      </c>
      <c r="D104" s="166">
        <v>6</v>
      </c>
      <c r="E104" s="166">
        <v>5</v>
      </c>
      <c r="F104" s="167">
        <v>4</v>
      </c>
      <c r="G104" s="168">
        <v>0</v>
      </c>
    </row>
    <row r="105" spans="1:9" x14ac:dyDescent="0.2">
      <c r="A105" s="164" t="str">
        <f t="shared" si="34"/>
        <v>Ready F-35C USN Close Air Support (CAS) Mission Systems (E)</v>
      </c>
      <c r="B105" s="165">
        <v>10</v>
      </c>
      <c r="C105" s="165">
        <v>6</v>
      </c>
      <c r="D105" s="166">
        <v>5</v>
      </c>
      <c r="E105" s="166">
        <v>4</v>
      </c>
      <c r="F105" s="167">
        <v>3</v>
      </c>
      <c r="G105" s="168">
        <v>0</v>
      </c>
    </row>
    <row r="106" spans="1:9" x14ac:dyDescent="0.2">
      <c r="A106" s="164" t="str">
        <f t="shared" si="34"/>
        <v>Ready F-35C USN Night Capable Mission Systems (H)</v>
      </c>
      <c r="B106" s="165"/>
      <c r="C106" s="165"/>
      <c r="D106" s="166"/>
      <c r="E106" s="166"/>
      <c r="F106" s="167"/>
      <c r="G106" s="168"/>
    </row>
    <row r="107" spans="1:9" x14ac:dyDescent="0.2">
      <c r="A107" s="164" t="str">
        <f t="shared" si="34"/>
        <v>Ready F-35C USN Basic Strike Fighter Mission Systems (J)</v>
      </c>
      <c r="B107" s="165">
        <v>10</v>
      </c>
      <c r="C107" s="165">
        <v>7</v>
      </c>
      <c r="D107" s="166">
        <v>6</v>
      </c>
      <c r="E107" s="166">
        <v>5</v>
      </c>
      <c r="F107" s="167">
        <v>4</v>
      </c>
      <c r="G107" s="168">
        <v>0</v>
      </c>
    </row>
    <row r="108" spans="1:9" x14ac:dyDescent="0.2">
      <c r="A108" s="164" t="str">
        <f t="shared" si="34"/>
        <v>Ready F-35C USN Expanded Mobility/Shipboard Mission Systems (K)</v>
      </c>
      <c r="B108" s="165">
        <v>10</v>
      </c>
      <c r="C108" s="165">
        <v>7</v>
      </c>
      <c r="D108" s="166">
        <v>6</v>
      </c>
      <c r="E108" s="166">
        <v>5</v>
      </c>
      <c r="F108" s="167">
        <v>4</v>
      </c>
      <c r="G108" s="168">
        <v>0</v>
      </c>
    </row>
    <row r="109" spans="1:9" x14ac:dyDescent="0.2">
      <c r="A109" s="164" t="str">
        <f t="shared" si="34"/>
        <v>Ready F-35C USN LO Mission Systems (M)</v>
      </c>
      <c r="B109" s="165"/>
      <c r="C109" s="165"/>
      <c r="D109" s="166"/>
      <c r="E109" s="166"/>
      <c r="F109" s="167"/>
      <c r="G109" s="168"/>
    </row>
    <row r="110" spans="1:9" x14ac:dyDescent="0.2">
      <c r="A110" s="164" t="str">
        <f t="shared" si="34"/>
        <v>Ready F-35C USN IMC Flight Mission Systems (L)</v>
      </c>
      <c r="B110" s="165">
        <v>10</v>
      </c>
      <c r="C110" s="165">
        <v>7</v>
      </c>
      <c r="D110" s="166">
        <v>6</v>
      </c>
      <c r="E110" s="166">
        <v>5</v>
      </c>
      <c r="F110" s="167">
        <v>4</v>
      </c>
      <c r="G110" s="168">
        <v>0</v>
      </c>
    </row>
    <row r="111" spans="1:9" x14ac:dyDescent="0.2">
      <c r="A111" s="161" t="s">
        <v>120</v>
      </c>
      <c r="B111" s="169"/>
      <c r="C111" s="170"/>
      <c r="D111" s="170"/>
      <c r="E111" s="170"/>
      <c r="F111" s="170"/>
      <c r="G111" s="171"/>
    </row>
    <row r="112" spans="1:9" x14ac:dyDescent="0.2">
      <c r="A112" s="164" t="str">
        <f>A48</f>
        <v>Assigned Gun Pod Sets</v>
      </c>
      <c r="B112" s="165">
        <v>7</v>
      </c>
      <c r="C112" s="165">
        <v>7</v>
      </c>
      <c r="D112" s="166">
        <v>6</v>
      </c>
      <c r="E112" s="166">
        <v>5</v>
      </c>
      <c r="F112" s="167">
        <v>4</v>
      </c>
      <c r="G112" s="168">
        <v>0</v>
      </c>
    </row>
    <row r="113" spans="1:7" ht="12.75" thickBot="1" x14ac:dyDescent="0.25">
      <c r="A113" s="172" t="str">
        <f>A49</f>
        <v xml:space="preserve">Ready Gun Pod Sets </v>
      </c>
      <c r="B113" s="173">
        <v>7</v>
      </c>
      <c r="C113" s="173">
        <v>6</v>
      </c>
      <c r="D113" s="174">
        <v>5</v>
      </c>
      <c r="E113" s="174">
        <v>4</v>
      </c>
      <c r="F113" s="175">
        <v>3</v>
      </c>
      <c r="G113" s="176">
        <v>0</v>
      </c>
    </row>
    <row r="116" spans="1:7" x14ac:dyDescent="0.2">
      <c r="A116" s="356" t="s">
        <v>164</v>
      </c>
      <c r="B116" s="1" t="s">
        <v>165</v>
      </c>
    </row>
    <row r="117" spans="1:7" x14ac:dyDescent="0.2">
      <c r="A117" s="357" t="s">
        <v>166</v>
      </c>
      <c r="B117" s="358">
        <f>HLOOKUP($B$116,'F-35C MIssion System Summary'!$B$1:$F$12,2,FALSE)</f>
        <v>0.33</v>
      </c>
    </row>
    <row r="118" spans="1:7" x14ac:dyDescent="0.2">
      <c r="A118" s="357" t="str">
        <f>A39</f>
        <v>Ready F-35C USN Countermeasures Mission Systems (C)</v>
      </c>
      <c r="B118" s="358">
        <f>HLOOKUP($B$116,'F-35C MIssion System Summary'!$B$1:$F$12,3,FALSE)</f>
        <v>0.33</v>
      </c>
    </row>
    <row r="119" spans="1:7" x14ac:dyDescent="0.2">
      <c r="A119" s="357" t="str">
        <f t="shared" ref="A119:A125" si="35">A40</f>
        <v>Ready F-35C USN Air to Air Mission Systems (D)</v>
      </c>
      <c r="B119" s="358">
        <f>HLOOKUP($B$116,'F-35C MIssion System Summary'!$B$1:$F$12,4,FALSE)</f>
        <v>0.33</v>
      </c>
    </row>
    <row r="120" spans="1:7" x14ac:dyDescent="0.2">
      <c r="A120" s="357" t="str">
        <f t="shared" si="35"/>
        <v>Ready F-35C USN Close Air Support (CAS) Mission Systems (E)</v>
      </c>
      <c r="B120" s="358">
        <f>HLOOKUP($B$116,'F-35C MIssion System Summary'!$B$1:$F$12,5,FALSE)</f>
        <v>0.33</v>
      </c>
    </row>
    <row r="121" spans="1:7" x14ac:dyDescent="0.2">
      <c r="A121" s="357" t="str">
        <f t="shared" si="35"/>
        <v>Ready F-35C USN Night Capable Mission Systems (H)</v>
      </c>
      <c r="B121" s="24"/>
    </row>
    <row r="122" spans="1:7" x14ac:dyDescent="0.2">
      <c r="A122" s="357" t="str">
        <f t="shared" si="35"/>
        <v>Ready F-35C USN Basic Strike Fighter Mission Systems (J)</v>
      </c>
      <c r="B122" s="358">
        <f>HLOOKUP($B$116,'F-35C MIssion System Summary'!$B$1:$F$12,6,FALSE)</f>
        <v>0.33</v>
      </c>
    </row>
    <row r="123" spans="1:7" x14ac:dyDescent="0.2">
      <c r="A123" s="357" t="str">
        <f t="shared" si="35"/>
        <v>Ready F-35C USN Expanded Mobility/Shipboard Mission Systems (K)</v>
      </c>
      <c r="B123" s="358">
        <f>HLOOKUP($B$116,'F-35C MIssion System Summary'!$B$1:$F$12,7,FALSE)</f>
        <v>0.33</v>
      </c>
    </row>
    <row r="124" spans="1:7" x14ac:dyDescent="0.2">
      <c r="A124" s="357" t="str">
        <f t="shared" si="35"/>
        <v>Ready F-35C USN LO Mission Systems (M)</v>
      </c>
      <c r="B124" s="24"/>
    </row>
    <row r="125" spans="1:7" x14ac:dyDescent="0.2">
      <c r="A125" s="357" t="str">
        <f t="shared" si="35"/>
        <v>Ready F-35C USN IMC Flight Mission Systems (L)</v>
      </c>
      <c r="B125" s="358">
        <f>HLOOKUP($B$116,'F-35C MIssion System Summary'!$B$1:$F$12,8,FALSE)</f>
        <v>1</v>
      </c>
    </row>
    <row r="126" spans="1:7" x14ac:dyDescent="0.2">
      <c r="A126" s="356"/>
    </row>
    <row r="127" spans="1:7" x14ac:dyDescent="0.2">
      <c r="A127" s="356"/>
    </row>
    <row r="128" spans="1:7" x14ac:dyDescent="0.2">
      <c r="A128" s="356"/>
    </row>
    <row r="129" spans="1:1" x14ac:dyDescent="0.2">
      <c r="A129" s="356"/>
    </row>
    <row r="130" spans="1:1" x14ac:dyDescent="0.2">
      <c r="A130" s="356"/>
    </row>
    <row r="131" spans="1:1" x14ac:dyDescent="0.2">
      <c r="A131" s="356"/>
    </row>
  </sheetData>
  <mergeCells count="14">
    <mergeCell ref="R16:W16"/>
    <mergeCell ref="X16:AB16"/>
    <mergeCell ref="A80:B80"/>
    <mergeCell ref="A81:B81"/>
    <mergeCell ref="B98:C98"/>
    <mergeCell ref="D98:E98"/>
    <mergeCell ref="F98:G98"/>
    <mergeCell ref="A94:B94"/>
    <mergeCell ref="M1:P1"/>
    <mergeCell ref="B16:E16"/>
    <mergeCell ref="F16:J16"/>
    <mergeCell ref="K16:M16"/>
    <mergeCell ref="N16:Q16"/>
    <mergeCell ref="A1:F1"/>
  </mergeCells>
  <conditionalFormatting sqref="AD39:AD43">
    <cfRule type="cellIs" dxfId="37" priority="1204" operator="greaterThan">
      <formula>AD$36</formula>
    </cfRule>
  </conditionalFormatting>
  <conditionalFormatting sqref="D100:E105 D107:E113">
    <cfRule type="cellIs" dxfId="36" priority="248" operator="equal">
      <formula>C100</formula>
    </cfRule>
  </conditionalFormatting>
  <conditionalFormatting sqref="C100:C105 C107:C113">
    <cfRule type="cellIs" dxfId="35" priority="257" operator="equal">
      <formula>B100</formula>
    </cfRule>
  </conditionalFormatting>
  <conditionalFormatting sqref="F100">
    <cfRule type="cellIs" dxfId="34" priority="256" operator="equal">
      <formula>E100</formula>
    </cfRule>
  </conditionalFormatting>
  <conditionalFormatting sqref="F101:F105 F107:F113">
    <cfRule type="cellIs" dxfId="33" priority="258" operator="equal">
      <formula>E101</formula>
    </cfRule>
    <cfRule type="cellIs" dxfId="32" priority="259" operator="equal">
      <formula>G101</formula>
    </cfRule>
  </conditionalFormatting>
  <conditionalFormatting sqref="E100:E101">
    <cfRule type="cellIs" dxfId="31" priority="255" operator="equal">
      <formula>D100</formula>
    </cfRule>
  </conditionalFormatting>
  <conditionalFormatting sqref="F100">
    <cfRule type="cellIs" dxfId="30" priority="253" operator="equal">
      <formula>E100</formula>
    </cfRule>
  </conditionalFormatting>
  <conditionalFormatting sqref="C100">
    <cfRule type="cellIs" dxfId="29" priority="254" operator="equal">
      <formula>B100</formula>
    </cfRule>
  </conditionalFormatting>
  <conditionalFormatting sqref="E100:E101">
    <cfRule type="cellIs" dxfId="28" priority="252" operator="equal">
      <formula>D100</formula>
    </cfRule>
  </conditionalFormatting>
  <conditionalFormatting sqref="F100">
    <cfRule type="cellIs" dxfId="27" priority="251" operator="equal">
      <formula>E100</formula>
    </cfRule>
  </conditionalFormatting>
  <conditionalFormatting sqref="C100">
    <cfRule type="cellIs" dxfId="26" priority="250" operator="equal">
      <formula>B100</formula>
    </cfRule>
  </conditionalFormatting>
  <conditionalFormatting sqref="D100">
    <cfRule type="cellIs" dxfId="25" priority="249" operator="equal">
      <formula>C100</formula>
    </cfRule>
  </conditionalFormatting>
  <conditionalFormatting sqref="D106:E106">
    <cfRule type="cellIs" dxfId="24" priority="1" operator="equal">
      <formula>C106</formula>
    </cfRule>
  </conditionalFormatting>
  <conditionalFormatting sqref="C106">
    <cfRule type="cellIs" dxfId="23" priority="2" operator="equal">
      <formula>B106</formula>
    </cfRule>
  </conditionalFormatting>
  <conditionalFormatting sqref="F106">
    <cfRule type="cellIs" dxfId="22" priority="3" operator="equal">
      <formula>E106</formula>
    </cfRule>
    <cfRule type="cellIs" dxfId="21" priority="4" operator="equal">
      <formula>G106</formula>
    </cfRule>
  </conditionalFormatting>
  <hyperlinks>
    <hyperlink ref="G1" location="Inventory!A1" display="Inventory" xr:uid="{00000000-0004-0000-0200-000000000000}"/>
    <hyperlink ref="G2" location="'VFA 10 Plane F35'!A120" display="AMFOM" xr:uid="{00000000-0004-0000-0200-000001000000}"/>
    <hyperlink ref="I98" location="Inventory!A1" display="Inventory" xr:uid="{00000000-0004-0000-0200-000002000000}"/>
    <hyperlink ref="I99" location="'VFA 10 Plane F35'!A1" display="Top" xr:uid="{00000000-0004-0000-0200-000003000000}"/>
  </hyperlinks>
  <printOptions horizontalCentered="1" verticalCentered="1"/>
  <pageMargins left="0.5" right="0.25" top="0.5" bottom="0.5" header="0.5" footer="0.5"/>
  <pageSetup scale="3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125"/>
  <sheetViews>
    <sheetView showGridLines="0" zoomScaleNormal="100" zoomScaleSheetLayoutView="100" workbookViewId="0">
      <selection activeCell="G1" sqref="G1"/>
    </sheetView>
  </sheetViews>
  <sheetFormatPr defaultRowHeight="12" x14ac:dyDescent="0.2"/>
  <cols>
    <col min="1" max="1" width="47.7109375" style="1" customWidth="1"/>
    <col min="2" max="29" width="6.5703125" style="1" customWidth="1"/>
    <col min="30" max="30" width="8.42578125" style="1" bestFit="1" customWidth="1"/>
    <col min="31" max="36" width="5.7109375" style="1" customWidth="1"/>
    <col min="37" max="16384" width="9.140625" style="1"/>
  </cols>
  <sheetData>
    <row r="1" spans="1:33" s="60" customFormat="1" ht="18.75" x14ac:dyDescent="0.3">
      <c r="A1" s="445" t="s">
        <v>167</v>
      </c>
      <c r="B1" s="445"/>
      <c r="C1" s="445"/>
      <c r="D1" s="445"/>
      <c r="E1" s="445"/>
      <c r="F1" s="445"/>
      <c r="G1" s="332" t="s">
        <v>29</v>
      </c>
      <c r="K1" s="91"/>
      <c r="L1" s="344" t="s">
        <v>30</v>
      </c>
      <c r="M1" s="439">
        <v>44835</v>
      </c>
      <c r="N1" s="440"/>
      <c r="O1" s="441"/>
      <c r="P1" s="441"/>
      <c r="V1" s="64"/>
      <c r="W1" s="65"/>
      <c r="X1" s="65"/>
      <c r="Y1" s="65"/>
      <c r="Z1" s="65"/>
      <c r="AA1" s="65"/>
      <c r="AB1" s="65"/>
      <c r="AC1" s="347" t="s">
        <v>31</v>
      </c>
      <c r="AD1" s="347">
        <v>11.02</v>
      </c>
    </row>
    <row r="2" spans="1:33" s="53" customFormat="1" ht="12.75" x14ac:dyDescent="0.2">
      <c r="A2" s="107" t="s">
        <v>32</v>
      </c>
      <c r="B2" s="108">
        <v>14</v>
      </c>
      <c r="C2" s="58"/>
      <c r="D2" s="58"/>
      <c r="E2" s="58"/>
      <c r="F2" s="58"/>
      <c r="G2" s="333" t="s">
        <v>3</v>
      </c>
      <c r="H2" s="109"/>
      <c r="N2" s="58"/>
      <c r="O2" s="58"/>
      <c r="P2" s="58"/>
      <c r="S2" s="57"/>
      <c r="U2" s="54"/>
      <c r="V2" s="66"/>
      <c r="W2" s="66"/>
      <c r="X2" s="66"/>
      <c r="Y2" s="66"/>
      <c r="Z2" s="67"/>
      <c r="AA2" s="131"/>
      <c r="AB2" s="66"/>
      <c r="AD2" s="66"/>
    </row>
    <row r="3" spans="1:33" s="53" customFormat="1" ht="11.25" x14ac:dyDescent="0.2">
      <c r="A3" s="107" t="s">
        <v>33</v>
      </c>
      <c r="B3" s="110">
        <v>1.35</v>
      </c>
      <c r="C3" s="58"/>
      <c r="D3" s="58"/>
      <c r="E3" s="109"/>
      <c r="F3" s="109"/>
      <c r="G3" s="109"/>
      <c r="H3" s="109"/>
      <c r="I3" s="54"/>
      <c r="J3" s="54"/>
      <c r="K3" s="54"/>
      <c r="N3" s="58"/>
      <c r="O3" s="58"/>
      <c r="P3" s="58"/>
      <c r="S3" s="59"/>
      <c r="T3" s="56"/>
      <c r="U3" s="54"/>
      <c r="V3" s="66"/>
      <c r="W3" s="68"/>
      <c r="X3" s="68"/>
      <c r="Y3" s="68"/>
      <c r="Z3" s="68"/>
      <c r="AA3" s="68"/>
      <c r="AB3" s="68"/>
      <c r="AD3" s="68"/>
    </row>
    <row r="4" spans="1:33" s="53" customFormat="1" ht="11.25" x14ac:dyDescent="0.2">
      <c r="A4" s="107" t="s">
        <v>34</v>
      </c>
      <c r="B4" s="108">
        <f>B2*B3</f>
        <v>18.900000000000002</v>
      </c>
      <c r="C4" s="58"/>
      <c r="D4" s="58"/>
      <c r="E4" s="58"/>
      <c r="F4" s="58"/>
      <c r="G4" s="58"/>
      <c r="H4" s="58"/>
      <c r="I4" s="54"/>
      <c r="J4" s="54"/>
      <c r="K4" s="54"/>
      <c r="N4" s="58"/>
      <c r="O4" s="58"/>
      <c r="P4" s="58"/>
      <c r="Q4" s="58"/>
      <c r="R4" s="54"/>
      <c r="S4" s="56"/>
      <c r="T4" s="62"/>
      <c r="U4" s="54"/>
      <c r="V4" s="66"/>
      <c r="W4" s="66"/>
      <c r="X4" s="66"/>
      <c r="Y4" s="66"/>
      <c r="Z4" s="69"/>
      <c r="AA4" s="70"/>
      <c r="AB4" s="66"/>
      <c r="AC4" s="68"/>
      <c r="AD4" s="66"/>
    </row>
    <row r="5" spans="1:33" s="53" customFormat="1" ht="11.25" x14ac:dyDescent="0.2">
      <c r="A5" s="107" t="s">
        <v>35</v>
      </c>
      <c r="B5" s="111">
        <v>1.8</v>
      </c>
      <c r="C5" s="112"/>
      <c r="D5" s="58"/>
      <c r="E5" s="58"/>
      <c r="F5" s="58"/>
      <c r="G5" s="58"/>
      <c r="H5" s="58"/>
      <c r="I5" s="54"/>
      <c r="J5" s="54"/>
      <c r="K5" s="54"/>
      <c r="N5" s="58"/>
      <c r="O5" s="58"/>
      <c r="P5" s="58"/>
      <c r="Q5" s="58"/>
      <c r="R5" s="54"/>
      <c r="S5" s="56"/>
      <c r="T5" s="54"/>
      <c r="U5" s="54"/>
      <c r="V5" s="66"/>
      <c r="W5" s="66"/>
      <c r="X5" s="66"/>
      <c r="Y5" s="66"/>
      <c r="Z5" s="71"/>
      <c r="AA5" s="72"/>
      <c r="AB5" s="73"/>
      <c r="AC5" s="68"/>
      <c r="AD5" s="73"/>
    </row>
    <row r="6" spans="1:33" s="53" customFormat="1" ht="11.25" x14ac:dyDescent="0.2">
      <c r="A6" s="113" t="s">
        <v>36</v>
      </c>
      <c r="B6" s="111">
        <v>26.5</v>
      </c>
      <c r="C6" s="112"/>
      <c r="D6" s="58"/>
      <c r="E6" s="58"/>
      <c r="F6" s="58"/>
      <c r="G6" s="58"/>
      <c r="H6" s="109"/>
      <c r="J6" s="54"/>
      <c r="L6" s="58"/>
      <c r="M6" s="58"/>
      <c r="N6" s="54"/>
      <c r="O6" s="58"/>
      <c r="P6" s="58"/>
      <c r="Q6" s="58"/>
      <c r="R6" s="54"/>
      <c r="S6" s="56"/>
      <c r="T6" s="54"/>
      <c r="U6" s="54"/>
      <c r="V6" s="66"/>
      <c r="W6" s="66"/>
      <c r="X6" s="66"/>
      <c r="Y6" s="66"/>
      <c r="Z6" s="71"/>
      <c r="AA6" s="73"/>
      <c r="AB6" s="73"/>
      <c r="AC6" s="68"/>
      <c r="AD6" s="73"/>
    </row>
    <row r="7" spans="1:33" s="53" customFormat="1" ht="11.25" x14ac:dyDescent="0.2">
      <c r="A7" s="107" t="s">
        <v>37</v>
      </c>
      <c r="B7" s="111">
        <f>B6*B4</f>
        <v>500.85000000000008</v>
      </c>
      <c r="C7" s="109"/>
      <c r="D7" s="109"/>
      <c r="E7" s="58"/>
      <c r="F7" s="58"/>
      <c r="G7" s="58"/>
      <c r="H7" s="58"/>
      <c r="I7" s="54"/>
      <c r="K7" s="54"/>
      <c r="L7" s="54"/>
      <c r="M7" s="54"/>
      <c r="N7" s="54"/>
      <c r="O7" s="54"/>
      <c r="P7" s="54"/>
      <c r="Q7" s="54"/>
      <c r="R7" s="54"/>
      <c r="S7" s="56"/>
      <c r="T7" s="54"/>
      <c r="U7" s="54"/>
      <c r="V7" s="66"/>
      <c r="W7" s="66"/>
      <c r="X7" s="66"/>
      <c r="Y7" s="66"/>
      <c r="Z7" s="71"/>
      <c r="AA7" s="73"/>
      <c r="AB7" s="73"/>
      <c r="AC7" s="68"/>
      <c r="AD7" s="73"/>
    </row>
    <row r="8" spans="1:33" s="53" customFormat="1" ht="11.25" x14ac:dyDescent="0.2">
      <c r="A8" s="107" t="s">
        <v>38</v>
      </c>
      <c r="B8" s="129">
        <f>B7/B5</f>
        <v>278.25000000000006</v>
      </c>
      <c r="C8" s="129"/>
      <c r="D8" s="109"/>
      <c r="E8" s="58"/>
      <c r="F8" s="58"/>
      <c r="G8" s="58"/>
      <c r="H8" s="58"/>
      <c r="I8" s="54"/>
      <c r="J8" s="54"/>
      <c r="K8" s="54"/>
      <c r="L8" s="54"/>
      <c r="M8" s="54"/>
      <c r="N8" s="54"/>
      <c r="O8" s="54"/>
      <c r="P8" s="54"/>
      <c r="Q8" s="54"/>
      <c r="R8" s="54"/>
      <c r="S8" s="54"/>
      <c r="T8" s="56"/>
      <c r="U8" s="54"/>
      <c r="V8" s="66"/>
      <c r="W8" s="66"/>
      <c r="X8" s="66"/>
      <c r="Y8" s="66"/>
      <c r="Z8" s="71"/>
      <c r="AA8" s="68"/>
      <c r="AB8" s="73"/>
      <c r="AC8" s="68"/>
      <c r="AD8" s="73"/>
    </row>
    <row r="9" spans="1:33" s="53" customFormat="1" ht="11.25" x14ac:dyDescent="0.2">
      <c r="A9" s="107" t="s">
        <v>39</v>
      </c>
      <c r="B9" s="111">
        <f>B4*C9</f>
        <v>18.900000000000002</v>
      </c>
      <c r="C9" s="58">
        <v>1</v>
      </c>
      <c r="D9" s="109" t="s">
        <v>40</v>
      </c>
      <c r="E9" s="58"/>
      <c r="F9" s="58"/>
      <c r="G9" s="111" t="s">
        <v>41</v>
      </c>
      <c r="H9" s="114">
        <v>0.4</v>
      </c>
      <c r="J9" s="54"/>
      <c r="K9" s="54"/>
      <c r="L9" s="54"/>
      <c r="M9" s="54"/>
      <c r="N9" s="54"/>
      <c r="O9" s="54"/>
      <c r="P9" s="54"/>
      <c r="Q9" s="54"/>
      <c r="R9" s="54"/>
      <c r="S9" s="54"/>
      <c r="T9" s="54"/>
      <c r="U9" s="54"/>
      <c r="V9" s="66"/>
      <c r="W9" s="66"/>
      <c r="X9" s="66"/>
      <c r="Y9" s="66"/>
      <c r="Z9" s="66"/>
      <c r="AA9" s="71"/>
      <c r="AB9" s="73"/>
      <c r="AC9" s="68"/>
      <c r="AD9" s="73"/>
    </row>
    <row r="10" spans="1:33" s="53" customFormat="1" ht="11.25" x14ac:dyDescent="0.2">
      <c r="A10" s="107" t="s">
        <v>42</v>
      </c>
      <c r="B10" s="111">
        <f>C10*B4</f>
        <v>18.900000000000002</v>
      </c>
      <c r="C10" s="58">
        <v>1</v>
      </c>
      <c r="D10" s="109" t="s">
        <v>40</v>
      </c>
      <c r="E10" s="58"/>
      <c r="F10" s="58"/>
      <c r="G10" s="115" t="s">
        <v>43</v>
      </c>
      <c r="H10" s="114">
        <v>0.28899999999999998</v>
      </c>
      <c r="J10" s="54"/>
      <c r="K10" s="54"/>
      <c r="L10" s="54"/>
      <c r="M10" s="54"/>
      <c r="N10" s="54"/>
      <c r="O10" s="54"/>
      <c r="P10" s="54"/>
      <c r="Q10" s="54"/>
      <c r="R10" s="54"/>
      <c r="S10" s="54"/>
      <c r="T10" s="54"/>
      <c r="U10" s="54"/>
      <c r="V10" s="54"/>
      <c r="W10" s="54"/>
      <c r="X10" s="54"/>
      <c r="Y10" s="54"/>
      <c r="Z10" s="54"/>
      <c r="AA10" s="54"/>
      <c r="AB10" s="54"/>
      <c r="AD10" s="54"/>
    </row>
    <row r="11" spans="1:33" s="53" customFormat="1" ht="11.25" x14ac:dyDescent="0.2">
      <c r="A11" s="57" t="s">
        <v>44</v>
      </c>
      <c r="B11" s="53">
        <v>0</v>
      </c>
      <c r="C11" s="58">
        <v>2</v>
      </c>
      <c r="D11" s="55" t="s">
        <v>40</v>
      </c>
      <c r="E11" s="58"/>
      <c r="F11" s="58"/>
      <c r="G11" s="115"/>
      <c r="H11" s="114"/>
      <c r="J11" s="54"/>
      <c r="K11" s="54"/>
      <c r="L11" s="54"/>
      <c r="M11" s="54"/>
      <c r="N11" s="54"/>
      <c r="O11" s="54"/>
      <c r="P11" s="54"/>
      <c r="Q11" s="54"/>
      <c r="R11" s="54"/>
      <c r="S11" s="54"/>
      <c r="T11" s="54"/>
      <c r="U11" s="54"/>
      <c r="V11" s="54"/>
      <c r="W11" s="54"/>
      <c r="X11" s="54"/>
      <c r="Y11" s="54"/>
      <c r="Z11" s="54"/>
      <c r="AA11" s="54"/>
      <c r="AB11" s="54"/>
      <c r="AD11" s="54"/>
    </row>
    <row r="12" spans="1:33" s="53" customFormat="1" ht="11.25" x14ac:dyDescent="0.2">
      <c r="A12" s="105"/>
      <c r="B12" s="105"/>
      <c r="C12" s="106"/>
      <c r="D12" s="106"/>
      <c r="E12" s="106"/>
      <c r="F12" s="104"/>
      <c r="G12" s="104"/>
      <c r="H12" s="104"/>
      <c r="I12" s="54"/>
      <c r="J12" s="54"/>
      <c r="K12" s="54"/>
      <c r="L12" s="54"/>
      <c r="M12" s="54"/>
      <c r="N12" s="54"/>
      <c r="O12" s="54"/>
      <c r="P12" s="54"/>
      <c r="Q12" s="54"/>
      <c r="R12" s="54"/>
      <c r="S12" s="54"/>
      <c r="T12" s="54"/>
      <c r="U12" s="54"/>
      <c r="V12" s="54"/>
      <c r="W12" s="54"/>
      <c r="X12" s="54"/>
      <c r="Y12" s="54"/>
      <c r="Z12" s="54"/>
      <c r="AA12" s="54"/>
      <c r="AB12" s="54"/>
      <c r="AD12" s="54"/>
    </row>
    <row r="13" spans="1:33" s="50" customFormat="1" ht="59.25" x14ac:dyDescent="0.2">
      <c r="A13" s="35" t="s">
        <v>45</v>
      </c>
      <c r="B13" s="52" t="s">
        <v>46</v>
      </c>
      <c r="C13" s="52" t="s">
        <v>46</v>
      </c>
      <c r="D13" s="52" t="s">
        <v>46</v>
      </c>
      <c r="E13" s="52" t="s">
        <v>46</v>
      </c>
      <c r="F13" s="52" t="s">
        <v>46</v>
      </c>
      <c r="G13" s="52" t="s">
        <v>46</v>
      </c>
      <c r="H13" s="52" t="s">
        <v>47</v>
      </c>
      <c r="I13" s="52" t="s">
        <v>47</v>
      </c>
      <c r="J13" s="52" t="s">
        <v>47</v>
      </c>
      <c r="K13" s="52" t="s">
        <v>48</v>
      </c>
      <c r="L13" s="52" t="s">
        <v>49</v>
      </c>
      <c r="M13" s="52" t="s">
        <v>49</v>
      </c>
      <c r="N13" s="52" t="s">
        <v>50</v>
      </c>
      <c r="O13" s="52" t="s">
        <v>50</v>
      </c>
      <c r="P13" s="52" t="s">
        <v>50</v>
      </c>
      <c r="Q13" s="52" t="s">
        <v>50</v>
      </c>
      <c r="R13" s="52" t="s">
        <v>51</v>
      </c>
      <c r="S13" s="52" t="s">
        <v>51</v>
      </c>
      <c r="T13" s="52" t="s">
        <v>51</v>
      </c>
      <c r="U13" s="52" t="s">
        <v>51</v>
      </c>
      <c r="V13" s="52" t="s">
        <v>51</v>
      </c>
      <c r="W13" s="52" t="s">
        <v>51</v>
      </c>
      <c r="X13" s="52" t="s">
        <v>50</v>
      </c>
      <c r="Y13" s="52" t="s">
        <v>50</v>
      </c>
      <c r="Z13" s="52" t="s">
        <v>50</v>
      </c>
      <c r="AA13" s="52" t="s">
        <v>50</v>
      </c>
      <c r="AB13" s="77" t="s">
        <v>50</v>
      </c>
      <c r="AC13" s="51" t="s">
        <v>52</v>
      </c>
      <c r="AD13" s="137"/>
      <c r="AE13" s="74"/>
      <c r="AF13" s="74"/>
      <c r="AG13" s="74"/>
    </row>
    <row r="14" spans="1:33" s="48" customFormat="1" x14ac:dyDescent="0.2">
      <c r="A14" s="35" t="s">
        <v>53</v>
      </c>
      <c r="B14" s="49" t="s">
        <v>54</v>
      </c>
      <c r="C14" s="49" t="s">
        <v>55</v>
      </c>
      <c r="D14" s="49" t="s">
        <v>56</v>
      </c>
      <c r="E14" s="49" t="s">
        <v>57</v>
      </c>
      <c r="F14" s="49" t="s">
        <v>58</v>
      </c>
      <c r="G14" s="49" t="s">
        <v>59</v>
      </c>
      <c r="H14" s="341" t="s">
        <v>60</v>
      </c>
      <c r="I14" s="341" t="s">
        <v>61</v>
      </c>
      <c r="J14" s="341" t="s">
        <v>62</v>
      </c>
      <c r="K14" s="341" t="s">
        <v>63</v>
      </c>
      <c r="L14" s="341" t="s">
        <v>64</v>
      </c>
      <c r="M14" s="341" t="s">
        <v>65</v>
      </c>
      <c r="N14" s="49" t="s">
        <v>66</v>
      </c>
      <c r="O14" s="49" t="s">
        <v>67</v>
      </c>
      <c r="P14" s="49" t="s">
        <v>68</v>
      </c>
      <c r="Q14" s="49" t="s">
        <v>69</v>
      </c>
      <c r="R14" s="49" t="s">
        <v>70</v>
      </c>
      <c r="S14" s="49" t="s">
        <v>71</v>
      </c>
      <c r="T14" s="49" t="s">
        <v>72</v>
      </c>
      <c r="U14" s="49" t="s">
        <v>73</v>
      </c>
      <c r="V14" s="49" t="s">
        <v>74</v>
      </c>
      <c r="W14" s="49" t="s">
        <v>75</v>
      </c>
      <c r="X14" s="49" t="s">
        <v>76</v>
      </c>
      <c r="Y14" s="49" t="s">
        <v>77</v>
      </c>
      <c r="Z14" s="49" t="s">
        <v>78</v>
      </c>
      <c r="AA14" s="49" t="s">
        <v>79</v>
      </c>
      <c r="AB14" s="78" t="s">
        <v>80</v>
      </c>
      <c r="AC14" s="49" t="s">
        <v>81</v>
      </c>
      <c r="AD14" s="138"/>
      <c r="AE14" s="12"/>
      <c r="AF14" s="12"/>
      <c r="AG14" s="12"/>
    </row>
    <row r="15" spans="1:33" s="48" customFormat="1" x14ac:dyDescent="0.2">
      <c r="A15" s="35" t="s">
        <v>82</v>
      </c>
      <c r="B15" s="49">
        <v>1</v>
      </c>
      <c r="C15" s="49">
        <v>2</v>
      </c>
      <c r="D15" s="49">
        <v>3</v>
      </c>
      <c r="E15" s="49">
        <v>4</v>
      </c>
      <c r="F15" s="49">
        <v>5</v>
      </c>
      <c r="G15" s="49">
        <v>6</v>
      </c>
      <c r="H15" s="49">
        <v>7</v>
      </c>
      <c r="I15" s="49">
        <v>8</v>
      </c>
      <c r="J15" s="49">
        <v>9</v>
      </c>
      <c r="K15" s="49">
        <v>10</v>
      </c>
      <c r="L15" s="49">
        <v>11</v>
      </c>
      <c r="M15" s="49">
        <v>12</v>
      </c>
      <c r="N15" s="49">
        <v>13</v>
      </c>
      <c r="O15" s="49">
        <v>14</v>
      </c>
      <c r="P15" s="49">
        <v>15</v>
      </c>
      <c r="Q15" s="49">
        <v>16</v>
      </c>
      <c r="R15" s="49">
        <v>17</v>
      </c>
      <c r="S15" s="49">
        <v>18</v>
      </c>
      <c r="T15" s="49">
        <v>19</v>
      </c>
      <c r="U15" s="49">
        <v>20</v>
      </c>
      <c r="V15" s="49">
        <v>21</v>
      </c>
      <c r="W15" s="49">
        <v>22</v>
      </c>
      <c r="X15" s="49">
        <v>23</v>
      </c>
      <c r="Y15" s="49">
        <v>24</v>
      </c>
      <c r="Z15" s="49">
        <v>25</v>
      </c>
      <c r="AA15" s="49">
        <v>26</v>
      </c>
      <c r="AB15" s="78">
        <v>27</v>
      </c>
      <c r="AC15" s="49">
        <v>28</v>
      </c>
      <c r="AD15" s="138"/>
      <c r="AE15" s="12"/>
      <c r="AF15" s="12"/>
      <c r="AG15" s="12"/>
    </row>
    <row r="16" spans="1:33" x14ac:dyDescent="0.2">
      <c r="A16" s="35" t="s">
        <v>83</v>
      </c>
      <c r="B16" s="442" t="s">
        <v>84</v>
      </c>
      <c r="C16" s="443"/>
      <c r="D16" s="443"/>
      <c r="E16" s="444"/>
      <c r="F16" s="442" t="s">
        <v>85</v>
      </c>
      <c r="G16" s="443"/>
      <c r="H16" s="443"/>
      <c r="I16" s="443"/>
      <c r="J16" s="444"/>
      <c r="K16" s="442" t="s">
        <v>86</v>
      </c>
      <c r="L16" s="443"/>
      <c r="M16" s="444"/>
      <c r="N16" s="442" t="s">
        <v>50</v>
      </c>
      <c r="O16" s="443"/>
      <c r="P16" s="443"/>
      <c r="Q16" s="444"/>
      <c r="R16" s="442" t="s">
        <v>87</v>
      </c>
      <c r="S16" s="443"/>
      <c r="T16" s="443"/>
      <c r="U16" s="443"/>
      <c r="V16" s="443"/>
      <c r="W16" s="444"/>
      <c r="X16" s="442" t="s">
        <v>88</v>
      </c>
      <c r="Y16" s="443"/>
      <c r="Z16" s="443"/>
      <c r="AA16" s="443"/>
      <c r="AB16" s="443"/>
      <c r="AC16" s="49" t="s">
        <v>89</v>
      </c>
      <c r="AD16" s="138"/>
      <c r="AE16" s="19"/>
      <c r="AF16" s="19"/>
      <c r="AG16" s="19"/>
    </row>
    <row r="17" spans="1:34" ht="12.75" x14ac:dyDescent="0.2">
      <c r="A17" s="90" t="s">
        <v>90</v>
      </c>
      <c r="B17" s="47"/>
      <c r="C17" s="45"/>
      <c r="D17" s="45"/>
      <c r="E17" s="45"/>
      <c r="F17" s="45"/>
      <c r="G17" s="45"/>
      <c r="H17" s="45"/>
      <c r="I17" s="45"/>
      <c r="J17" s="45"/>
      <c r="K17" s="45"/>
      <c r="L17" s="45"/>
      <c r="M17" s="45"/>
      <c r="N17" s="45"/>
      <c r="O17" s="45"/>
      <c r="P17" s="45"/>
      <c r="Q17" s="45"/>
      <c r="R17" s="45"/>
      <c r="S17" s="45"/>
      <c r="T17" s="46"/>
      <c r="U17" s="45"/>
      <c r="V17" s="45"/>
      <c r="W17" s="45"/>
      <c r="X17" s="45"/>
      <c r="Y17" s="45"/>
      <c r="Z17" s="45"/>
      <c r="AA17" s="45"/>
      <c r="AB17" s="45"/>
      <c r="AC17" s="276"/>
      <c r="AD17" s="132"/>
      <c r="AE17" s="19"/>
      <c r="AF17" s="19"/>
      <c r="AG17" s="19"/>
    </row>
    <row r="18" spans="1:34" s="81" customFormat="1" x14ac:dyDescent="0.2">
      <c r="A18" s="88" t="s">
        <v>91</v>
      </c>
      <c r="B18" s="32">
        <f t="shared" ref="B18:AC18" si="0">IF(B73&lt;80,B74,MIN(B73,80))</f>
        <v>0</v>
      </c>
      <c r="C18" s="32">
        <f t="shared" si="0"/>
        <v>0</v>
      </c>
      <c r="D18" s="32">
        <f t="shared" si="0"/>
        <v>0</v>
      </c>
      <c r="E18" s="32">
        <f t="shared" si="0"/>
        <v>0</v>
      </c>
      <c r="F18" s="32">
        <f t="shared" si="0"/>
        <v>0</v>
      </c>
      <c r="G18" s="32">
        <f t="shared" si="0"/>
        <v>4.9431538436497391E-2</v>
      </c>
      <c r="H18" s="32">
        <f t="shared" si="0"/>
        <v>2.0494315384364974</v>
      </c>
      <c r="I18" s="32">
        <f t="shared" si="0"/>
        <v>2.0494315384364974</v>
      </c>
      <c r="J18" s="32">
        <f t="shared" si="0"/>
        <v>12.049431538436497</v>
      </c>
      <c r="K18" s="32">
        <f t="shared" si="0"/>
        <v>37.049431538436494</v>
      </c>
      <c r="L18" s="32">
        <f t="shared" si="0"/>
        <v>80</v>
      </c>
      <c r="M18" s="32">
        <f t="shared" si="0"/>
        <v>80</v>
      </c>
      <c r="N18" s="32">
        <f t="shared" si="0"/>
        <v>80</v>
      </c>
      <c r="O18" s="32">
        <f t="shared" si="0"/>
        <v>80</v>
      </c>
      <c r="P18" s="32">
        <f t="shared" si="0"/>
        <v>80</v>
      </c>
      <c r="Q18" s="32">
        <f t="shared" si="0"/>
        <v>80</v>
      </c>
      <c r="R18" s="32">
        <f t="shared" si="0"/>
        <v>80</v>
      </c>
      <c r="S18" s="32">
        <f t="shared" si="0"/>
        <v>80</v>
      </c>
      <c r="T18" s="32">
        <f t="shared" si="0"/>
        <v>80</v>
      </c>
      <c r="U18" s="32">
        <f t="shared" si="0"/>
        <v>80</v>
      </c>
      <c r="V18" s="32">
        <f t="shared" si="0"/>
        <v>80</v>
      </c>
      <c r="W18" s="32">
        <f t="shared" si="0"/>
        <v>80</v>
      </c>
      <c r="X18" s="32">
        <f t="shared" si="0"/>
        <v>80</v>
      </c>
      <c r="Y18" s="32">
        <f t="shared" si="0"/>
        <v>80</v>
      </c>
      <c r="Z18" s="32">
        <f t="shared" si="0"/>
        <v>80</v>
      </c>
      <c r="AA18" s="32">
        <f t="shared" si="0"/>
        <v>80</v>
      </c>
      <c r="AB18" s="31">
        <f t="shared" si="0"/>
        <v>80</v>
      </c>
      <c r="AC18" s="32">
        <f t="shared" si="0"/>
        <v>0</v>
      </c>
      <c r="AD18" s="139"/>
      <c r="AE18" s="63"/>
      <c r="AF18" s="92"/>
      <c r="AG18" s="68"/>
    </row>
    <row r="19" spans="1:34" x14ac:dyDescent="0.2">
      <c r="A19" s="24" t="s">
        <v>92</v>
      </c>
      <c r="B19" s="339">
        <v>0.55000000000000004</v>
      </c>
      <c r="C19" s="339">
        <v>0.55000000000000004</v>
      </c>
      <c r="D19" s="339">
        <v>0.55000000000000004</v>
      </c>
      <c r="E19" s="339">
        <v>0.55000000000000004</v>
      </c>
      <c r="F19" s="339">
        <v>0.55000000000000004</v>
      </c>
      <c r="G19" s="339">
        <v>0.55000000000000004</v>
      </c>
      <c r="H19" s="339">
        <v>0.55000000000000004</v>
      </c>
      <c r="I19" s="339">
        <v>0.6</v>
      </c>
      <c r="J19" s="339">
        <v>0.65</v>
      </c>
      <c r="K19" s="339">
        <v>0.7</v>
      </c>
      <c r="L19" s="339">
        <v>0.7</v>
      </c>
      <c r="M19" s="339">
        <v>0.7</v>
      </c>
      <c r="N19" s="339">
        <v>0.7</v>
      </c>
      <c r="O19" s="339">
        <v>0.7</v>
      </c>
      <c r="P19" s="339">
        <v>0.7</v>
      </c>
      <c r="Q19" s="339">
        <v>0.4</v>
      </c>
      <c r="R19" s="339">
        <v>0.8</v>
      </c>
      <c r="S19" s="339">
        <v>0.8</v>
      </c>
      <c r="T19" s="339">
        <v>0.8</v>
      </c>
      <c r="U19" s="339">
        <v>0.8</v>
      </c>
      <c r="V19" s="339">
        <v>0.8</v>
      </c>
      <c r="W19" s="339">
        <v>0.7</v>
      </c>
      <c r="X19" s="339">
        <v>0.4</v>
      </c>
      <c r="Y19" s="339">
        <v>0.6</v>
      </c>
      <c r="Z19" s="339">
        <v>0.6</v>
      </c>
      <c r="AA19" s="339">
        <v>0.6</v>
      </c>
      <c r="AB19" s="340">
        <v>0.6</v>
      </c>
      <c r="AC19" s="339">
        <v>0.4</v>
      </c>
      <c r="AD19" s="140"/>
      <c r="AE19" s="13"/>
      <c r="AF19" s="12"/>
      <c r="AG19" s="11"/>
    </row>
    <row r="20" spans="1:34" x14ac:dyDescent="0.2">
      <c r="A20" s="121" t="s">
        <v>93</v>
      </c>
      <c r="B20" s="36"/>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277"/>
      <c r="AD20" s="140"/>
      <c r="AE20" s="13"/>
      <c r="AF20" s="12"/>
      <c r="AG20" s="11"/>
    </row>
    <row r="21" spans="1:34" s="43" customFormat="1" x14ac:dyDescent="0.2">
      <c r="A21" s="33" t="s">
        <v>94</v>
      </c>
      <c r="B21" s="44">
        <f t="shared" ref="B21:AC21" si="1">B19*$B$8</f>
        <v>153.03750000000005</v>
      </c>
      <c r="C21" s="44">
        <f t="shared" si="1"/>
        <v>153.03750000000005</v>
      </c>
      <c r="D21" s="44">
        <f t="shared" si="1"/>
        <v>153.03750000000005</v>
      </c>
      <c r="E21" s="44">
        <f t="shared" si="1"/>
        <v>153.03750000000005</v>
      </c>
      <c r="F21" s="44">
        <f t="shared" si="1"/>
        <v>153.03750000000005</v>
      </c>
      <c r="G21" s="44">
        <f t="shared" si="1"/>
        <v>153.03750000000005</v>
      </c>
      <c r="H21" s="44">
        <f t="shared" si="1"/>
        <v>153.03750000000005</v>
      </c>
      <c r="I21" s="44">
        <f t="shared" si="1"/>
        <v>166.95000000000002</v>
      </c>
      <c r="J21" s="44">
        <f t="shared" si="1"/>
        <v>180.86250000000004</v>
      </c>
      <c r="K21" s="44">
        <f t="shared" si="1"/>
        <v>194.77500000000003</v>
      </c>
      <c r="L21" s="44">
        <f t="shared" si="1"/>
        <v>194.77500000000003</v>
      </c>
      <c r="M21" s="44">
        <f t="shared" si="1"/>
        <v>194.77500000000003</v>
      </c>
      <c r="N21" s="44">
        <f t="shared" si="1"/>
        <v>194.77500000000003</v>
      </c>
      <c r="O21" s="44">
        <f t="shared" si="1"/>
        <v>194.77500000000003</v>
      </c>
      <c r="P21" s="44">
        <f t="shared" si="1"/>
        <v>194.77500000000003</v>
      </c>
      <c r="Q21" s="44">
        <f t="shared" si="1"/>
        <v>111.30000000000003</v>
      </c>
      <c r="R21" s="44">
        <f t="shared" si="1"/>
        <v>222.60000000000005</v>
      </c>
      <c r="S21" s="44">
        <f t="shared" si="1"/>
        <v>222.60000000000005</v>
      </c>
      <c r="T21" s="44">
        <f t="shared" si="1"/>
        <v>222.60000000000005</v>
      </c>
      <c r="U21" s="44">
        <f t="shared" si="1"/>
        <v>222.60000000000005</v>
      </c>
      <c r="V21" s="44">
        <f t="shared" si="1"/>
        <v>222.60000000000005</v>
      </c>
      <c r="W21" s="44">
        <f t="shared" si="1"/>
        <v>194.77500000000003</v>
      </c>
      <c r="X21" s="44">
        <f t="shared" si="1"/>
        <v>111.30000000000003</v>
      </c>
      <c r="Y21" s="44">
        <f t="shared" si="1"/>
        <v>166.95000000000002</v>
      </c>
      <c r="Z21" s="44">
        <f t="shared" si="1"/>
        <v>166.95000000000002</v>
      </c>
      <c r="AA21" s="44">
        <f t="shared" si="1"/>
        <v>166.95000000000002</v>
      </c>
      <c r="AB21" s="135">
        <f t="shared" si="1"/>
        <v>166.95000000000002</v>
      </c>
      <c r="AC21" s="44">
        <f t="shared" si="1"/>
        <v>111.30000000000003</v>
      </c>
      <c r="AD21" s="141"/>
      <c r="AE21" s="34"/>
      <c r="AF21" s="34"/>
      <c r="AG21" s="34"/>
    </row>
    <row r="22" spans="1:34" s="10" customFormat="1" x14ac:dyDescent="0.2">
      <c r="A22" s="33" t="s">
        <v>95</v>
      </c>
      <c r="B22" s="42">
        <f t="shared" ref="B22:AC22" si="2">B21*$B$5</f>
        <v>275.46750000000009</v>
      </c>
      <c r="C22" s="42">
        <f t="shared" si="2"/>
        <v>275.46750000000009</v>
      </c>
      <c r="D22" s="42">
        <f t="shared" si="2"/>
        <v>275.46750000000009</v>
      </c>
      <c r="E22" s="42">
        <f t="shared" si="2"/>
        <v>275.46750000000009</v>
      </c>
      <c r="F22" s="42">
        <f t="shared" si="2"/>
        <v>275.46750000000009</v>
      </c>
      <c r="G22" s="42">
        <f t="shared" si="2"/>
        <v>275.46750000000009</v>
      </c>
      <c r="H22" s="42">
        <f t="shared" si="2"/>
        <v>275.46750000000009</v>
      </c>
      <c r="I22" s="42">
        <f t="shared" si="2"/>
        <v>300.51000000000005</v>
      </c>
      <c r="J22" s="42">
        <f t="shared" si="2"/>
        <v>325.55250000000007</v>
      </c>
      <c r="K22" s="42">
        <f t="shared" si="2"/>
        <v>350.59500000000008</v>
      </c>
      <c r="L22" s="42">
        <f t="shared" si="2"/>
        <v>350.59500000000008</v>
      </c>
      <c r="M22" s="42">
        <f t="shared" si="2"/>
        <v>350.59500000000008</v>
      </c>
      <c r="N22" s="42">
        <f t="shared" si="2"/>
        <v>350.59500000000008</v>
      </c>
      <c r="O22" s="42">
        <f t="shared" si="2"/>
        <v>350.59500000000008</v>
      </c>
      <c r="P22" s="42">
        <f t="shared" si="2"/>
        <v>350.59500000000008</v>
      </c>
      <c r="Q22" s="42">
        <f t="shared" si="2"/>
        <v>200.34000000000006</v>
      </c>
      <c r="R22" s="42">
        <f t="shared" si="2"/>
        <v>400.68000000000012</v>
      </c>
      <c r="S22" s="42">
        <f t="shared" si="2"/>
        <v>400.68000000000012</v>
      </c>
      <c r="T22" s="42">
        <f t="shared" si="2"/>
        <v>400.68000000000012</v>
      </c>
      <c r="U22" s="42">
        <f t="shared" si="2"/>
        <v>400.68000000000012</v>
      </c>
      <c r="V22" s="42">
        <f t="shared" si="2"/>
        <v>400.68000000000012</v>
      </c>
      <c r="W22" s="42">
        <f t="shared" si="2"/>
        <v>350.59500000000008</v>
      </c>
      <c r="X22" s="42">
        <f t="shared" si="2"/>
        <v>200.34000000000006</v>
      </c>
      <c r="Y22" s="42">
        <f t="shared" si="2"/>
        <v>300.51000000000005</v>
      </c>
      <c r="Z22" s="42">
        <f t="shared" si="2"/>
        <v>300.51000000000005</v>
      </c>
      <c r="AA22" s="42">
        <f t="shared" si="2"/>
        <v>300.51000000000005</v>
      </c>
      <c r="AB22" s="41">
        <f t="shared" si="2"/>
        <v>300.51000000000005</v>
      </c>
      <c r="AC22" s="42">
        <f t="shared" si="2"/>
        <v>200.34000000000006</v>
      </c>
      <c r="AD22" s="142"/>
      <c r="AE22" s="40"/>
      <c r="AF22" s="40"/>
      <c r="AG22" s="40"/>
    </row>
    <row r="23" spans="1:34" s="10" customFormat="1" x14ac:dyDescent="0.2">
      <c r="A23" s="33" t="s">
        <v>96</v>
      </c>
      <c r="B23" s="89">
        <f t="shared" ref="B23:AC23" si="3">$B$9</f>
        <v>18.900000000000002</v>
      </c>
      <c r="C23" s="89">
        <f t="shared" si="3"/>
        <v>18.900000000000002</v>
      </c>
      <c r="D23" s="89">
        <f t="shared" si="3"/>
        <v>18.900000000000002</v>
      </c>
      <c r="E23" s="89">
        <f t="shared" si="3"/>
        <v>18.900000000000002</v>
      </c>
      <c r="F23" s="89">
        <f t="shared" si="3"/>
        <v>18.900000000000002</v>
      </c>
      <c r="G23" s="89">
        <f t="shared" si="3"/>
        <v>18.900000000000002</v>
      </c>
      <c r="H23" s="89">
        <f t="shared" si="3"/>
        <v>18.900000000000002</v>
      </c>
      <c r="I23" s="89">
        <f t="shared" si="3"/>
        <v>18.900000000000002</v>
      </c>
      <c r="J23" s="89">
        <f t="shared" si="3"/>
        <v>18.900000000000002</v>
      </c>
      <c r="K23" s="89">
        <f t="shared" si="3"/>
        <v>18.900000000000002</v>
      </c>
      <c r="L23" s="89">
        <f t="shared" si="3"/>
        <v>18.900000000000002</v>
      </c>
      <c r="M23" s="89">
        <f t="shared" si="3"/>
        <v>18.900000000000002</v>
      </c>
      <c r="N23" s="89">
        <f t="shared" si="3"/>
        <v>18.900000000000002</v>
      </c>
      <c r="O23" s="89">
        <f t="shared" si="3"/>
        <v>18.900000000000002</v>
      </c>
      <c r="P23" s="89">
        <f t="shared" si="3"/>
        <v>18.900000000000002</v>
      </c>
      <c r="Q23" s="89">
        <f t="shared" si="3"/>
        <v>18.900000000000002</v>
      </c>
      <c r="R23" s="89">
        <f t="shared" si="3"/>
        <v>18.900000000000002</v>
      </c>
      <c r="S23" s="89">
        <f t="shared" si="3"/>
        <v>18.900000000000002</v>
      </c>
      <c r="T23" s="89">
        <f t="shared" si="3"/>
        <v>18.900000000000002</v>
      </c>
      <c r="U23" s="89">
        <f t="shared" si="3"/>
        <v>18.900000000000002</v>
      </c>
      <c r="V23" s="89">
        <f t="shared" si="3"/>
        <v>18.900000000000002</v>
      </c>
      <c r="W23" s="89">
        <f t="shared" si="3"/>
        <v>18.900000000000002</v>
      </c>
      <c r="X23" s="89">
        <f t="shared" si="3"/>
        <v>18.900000000000002</v>
      </c>
      <c r="Y23" s="89">
        <f t="shared" si="3"/>
        <v>18.900000000000002</v>
      </c>
      <c r="Z23" s="89">
        <f t="shared" si="3"/>
        <v>18.900000000000002</v>
      </c>
      <c r="AA23" s="89">
        <f t="shared" si="3"/>
        <v>18.900000000000002</v>
      </c>
      <c r="AB23" s="93">
        <f t="shared" si="3"/>
        <v>18.900000000000002</v>
      </c>
      <c r="AC23" s="89">
        <f t="shared" si="3"/>
        <v>18.900000000000002</v>
      </c>
      <c r="AD23" s="127"/>
      <c r="AE23" s="40"/>
      <c r="AF23" s="40"/>
      <c r="AG23" s="40"/>
    </row>
    <row r="24" spans="1:34" s="10" customFormat="1" x14ac:dyDescent="0.2">
      <c r="A24" s="342" t="s">
        <v>97</v>
      </c>
      <c r="B24" s="89">
        <f t="shared" ref="B24:AC24" si="4">IF(ISBLANK(B96),0,$B$10)</f>
        <v>0</v>
      </c>
      <c r="C24" s="89">
        <f t="shared" si="4"/>
        <v>0</v>
      </c>
      <c r="D24" s="89">
        <f t="shared" si="4"/>
        <v>0</v>
      </c>
      <c r="E24" s="89">
        <f t="shared" si="4"/>
        <v>0</v>
      </c>
      <c r="F24" s="89">
        <f t="shared" si="4"/>
        <v>0</v>
      </c>
      <c r="G24" s="89">
        <f t="shared" si="4"/>
        <v>0</v>
      </c>
      <c r="H24" s="89">
        <f t="shared" si="4"/>
        <v>0</v>
      </c>
      <c r="I24" s="89">
        <f t="shared" si="4"/>
        <v>0</v>
      </c>
      <c r="J24" s="89">
        <f t="shared" si="4"/>
        <v>18.900000000000002</v>
      </c>
      <c r="K24" s="89">
        <f t="shared" si="4"/>
        <v>0</v>
      </c>
      <c r="L24" s="89">
        <f t="shared" si="4"/>
        <v>18.900000000000002</v>
      </c>
      <c r="M24" s="89">
        <f t="shared" si="4"/>
        <v>18.900000000000002</v>
      </c>
      <c r="N24" s="89">
        <f t="shared" si="4"/>
        <v>0</v>
      </c>
      <c r="O24" s="89">
        <f t="shared" si="4"/>
        <v>0</v>
      </c>
      <c r="P24" s="89">
        <f t="shared" si="4"/>
        <v>18.900000000000002</v>
      </c>
      <c r="Q24" s="89">
        <f t="shared" si="4"/>
        <v>18.900000000000002</v>
      </c>
      <c r="R24" s="89">
        <f t="shared" si="4"/>
        <v>18.900000000000002</v>
      </c>
      <c r="S24" s="89">
        <f t="shared" si="4"/>
        <v>18.900000000000002</v>
      </c>
      <c r="T24" s="89">
        <f t="shared" si="4"/>
        <v>18.900000000000002</v>
      </c>
      <c r="U24" s="89">
        <f t="shared" si="4"/>
        <v>18.900000000000002</v>
      </c>
      <c r="V24" s="89">
        <f t="shared" si="4"/>
        <v>18.900000000000002</v>
      </c>
      <c r="W24" s="89">
        <f t="shared" si="4"/>
        <v>18.900000000000002</v>
      </c>
      <c r="X24" s="89">
        <f t="shared" si="4"/>
        <v>18.900000000000002</v>
      </c>
      <c r="Y24" s="89">
        <f t="shared" si="4"/>
        <v>0</v>
      </c>
      <c r="Z24" s="89">
        <f t="shared" si="4"/>
        <v>0</v>
      </c>
      <c r="AA24" s="89">
        <f t="shared" si="4"/>
        <v>0</v>
      </c>
      <c r="AB24" s="89">
        <f t="shared" si="4"/>
        <v>0</v>
      </c>
      <c r="AC24" s="89">
        <f t="shared" si="4"/>
        <v>0</v>
      </c>
      <c r="AD24" s="127"/>
      <c r="AE24" s="40"/>
      <c r="AF24" s="40"/>
      <c r="AG24" s="40"/>
    </row>
    <row r="25" spans="1:34" s="10" customFormat="1" x14ac:dyDescent="0.2">
      <c r="A25" s="342" t="s">
        <v>98</v>
      </c>
      <c r="B25" s="42">
        <f t="shared" ref="B25:AC25" si="5">B21*$B$5+SUM(B23:B24)</f>
        <v>294.36750000000006</v>
      </c>
      <c r="C25" s="42">
        <f t="shared" si="5"/>
        <v>294.36750000000006</v>
      </c>
      <c r="D25" s="42">
        <f t="shared" si="5"/>
        <v>294.36750000000006</v>
      </c>
      <c r="E25" s="42">
        <f t="shared" si="5"/>
        <v>294.36750000000006</v>
      </c>
      <c r="F25" s="42">
        <f t="shared" si="5"/>
        <v>294.36750000000006</v>
      </c>
      <c r="G25" s="42">
        <f t="shared" si="5"/>
        <v>294.36750000000006</v>
      </c>
      <c r="H25" s="42">
        <f t="shared" si="5"/>
        <v>294.36750000000006</v>
      </c>
      <c r="I25" s="42">
        <f t="shared" si="5"/>
        <v>319.41000000000003</v>
      </c>
      <c r="J25" s="42">
        <f t="shared" si="5"/>
        <v>363.35250000000008</v>
      </c>
      <c r="K25" s="42">
        <f t="shared" si="5"/>
        <v>369.49500000000006</v>
      </c>
      <c r="L25" s="42">
        <f t="shared" si="5"/>
        <v>388.3950000000001</v>
      </c>
      <c r="M25" s="42">
        <f t="shared" si="5"/>
        <v>388.3950000000001</v>
      </c>
      <c r="N25" s="42">
        <f t="shared" si="5"/>
        <v>369.49500000000006</v>
      </c>
      <c r="O25" s="42">
        <f t="shared" si="5"/>
        <v>369.49500000000006</v>
      </c>
      <c r="P25" s="42">
        <f t="shared" si="5"/>
        <v>388.3950000000001</v>
      </c>
      <c r="Q25" s="42">
        <f t="shared" si="5"/>
        <v>238.14000000000007</v>
      </c>
      <c r="R25" s="42">
        <f t="shared" si="5"/>
        <v>438.48000000000013</v>
      </c>
      <c r="S25" s="42">
        <f t="shared" si="5"/>
        <v>438.48000000000013</v>
      </c>
      <c r="T25" s="42">
        <f t="shared" si="5"/>
        <v>438.48000000000013</v>
      </c>
      <c r="U25" s="42">
        <f t="shared" si="5"/>
        <v>438.48000000000013</v>
      </c>
      <c r="V25" s="42">
        <f t="shared" si="5"/>
        <v>438.48000000000013</v>
      </c>
      <c r="W25" s="42">
        <f t="shared" si="5"/>
        <v>388.3950000000001</v>
      </c>
      <c r="X25" s="42">
        <f t="shared" si="5"/>
        <v>238.14000000000007</v>
      </c>
      <c r="Y25" s="42">
        <f t="shared" si="5"/>
        <v>319.41000000000003</v>
      </c>
      <c r="Z25" s="42">
        <f t="shared" si="5"/>
        <v>319.41000000000003</v>
      </c>
      <c r="AA25" s="42">
        <f t="shared" si="5"/>
        <v>319.41000000000003</v>
      </c>
      <c r="AB25" s="41">
        <f t="shared" si="5"/>
        <v>319.41000000000003</v>
      </c>
      <c r="AC25" s="42">
        <f t="shared" si="5"/>
        <v>219.24000000000007</v>
      </c>
      <c r="AD25" s="142"/>
      <c r="AE25" s="40"/>
      <c r="AF25" s="40"/>
      <c r="AG25" s="40"/>
    </row>
    <row r="26" spans="1:34" s="10" customFormat="1" x14ac:dyDescent="0.2">
      <c r="A26" s="343" t="s">
        <v>99</v>
      </c>
      <c r="B26" s="39">
        <f t="shared" ref="B26:AC26" si="6">-IF(ISBLANK(B95),0,MIN(B$22*$H$10,B$22-$B$7*$H$9))</f>
        <v>-75.127500000000055</v>
      </c>
      <c r="C26" s="39">
        <f t="shared" si="6"/>
        <v>-75.127500000000055</v>
      </c>
      <c r="D26" s="39">
        <f t="shared" si="6"/>
        <v>-75.127500000000055</v>
      </c>
      <c r="E26" s="39">
        <f t="shared" si="6"/>
        <v>-75.127500000000055</v>
      </c>
      <c r="F26" s="39">
        <f t="shared" si="6"/>
        <v>-75.127500000000055</v>
      </c>
      <c r="G26" s="39">
        <f t="shared" si="6"/>
        <v>-75.127500000000055</v>
      </c>
      <c r="H26" s="39">
        <f t="shared" si="6"/>
        <v>-75.127500000000055</v>
      </c>
      <c r="I26" s="39">
        <f t="shared" si="6"/>
        <v>-86.847390000000004</v>
      </c>
      <c r="J26" s="39">
        <f t="shared" si="6"/>
        <v>0</v>
      </c>
      <c r="K26" s="39">
        <f t="shared" si="6"/>
        <v>-101.32195500000002</v>
      </c>
      <c r="L26" s="39">
        <f t="shared" si="6"/>
        <v>0</v>
      </c>
      <c r="M26" s="39">
        <f t="shared" si="6"/>
        <v>0</v>
      </c>
      <c r="N26" s="39">
        <f t="shared" si="6"/>
        <v>-101.32195500000002</v>
      </c>
      <c r="O26" s="39">
        <f t="shared" si="6"/>
        <v>-101.32195500000002</v>
      </c>
      <c r="P26" s="39">
        <f t="shared" si="6"/>
        <v>0</v>
      </c>
      <c r="Q26" s="39">
        <f t="shared" si="6"/>
        <v>0</v>
      </c>
      <c r="R26" s="39">
        <f t="shared" si="6"/>
        <v>0</v>
      </c>
      <c r="S26" s="39">
        <f t="shared" si="6"/>
        <v>0</v>
      </c>
      <c r="T26" s="39">
        <f t="shared" si="6"/>
        <v>0</v>
      </c>
      <c r="U26" s="39">
        <f t="shared" si="6"/>
        <v>0</v>
      </c>
      <c r="V26" s="39">
        <f t="shared" si="6"/>
        <v>0</v>
      </c>
      <c r="W26" s="39">
        <f t="shared" si="6"/>
        <v>0</v>
      </c>
      <c r="X26" s="39">
        <f t="shared" si="6"/>
        <v>0</v>
      </c>
      <c r="Y26" s="39">
        <f t="shared" si="6"/>
        <v>-86.847390000000004</v>
      </c>
      <c r="Z26" s="39">
        <f t="shared" si="6"/>
        <v>-86.847390000000004</v>
      </c>
      <c r="AA26" s="39">
        <f t="shared" si="6"/>
        <v>-86.847390000000004</v>
      </c>
      <c r="AB26" s="38">
        <f t="shared" si="6"/>
        <v>-86.847390000000004</v>
      </c>
      <c r="AC26" s="42">
        <f t="shared" si="6"/>
        <v>-2.8421709430404007E-14</v>
      </c>
      <c r="AD26" s="142"/>
      <c r="AE26" s="126"/>
    </row>
    <row r="27" spans="1:34" s="10" customFormat="1" x14ac:dyDescent="0.2">
      <c r="A27" s="158" t="s">
        <v>100</v>
      </c>
      <c r="B27" s="39">
        <f t="shared" ref="B27:AC27" si="7">SUM(B25:B26)</f>
        <v>219.24</v>
      </c>
      <c r="C27" s="39">
        <f t="shared" si="7"/>
        <v>219.24</v>
      </c>
      <c r="D27" s="39">
        <f t="shared" si="7"/>
        <v>219.24</v>
      </c>
      <c r="E27" s="39">
        <f t="shared" si="7"/>
        <v>219.24</v>
      </c>
      <c r="F27" s="39">
        <f t="shared" si="7"/>
        <v>219.24</v>
      </c>
      <c r="G27" s="39">
        <f t="shared" si="7"/>
        <v>219.24</v>
      </c>
      <c r="H27" s="39">
        <f t="shared" si="7"/>
        <v>219.24</v>
      </c>
      <c r="I27" s="39">
        <f t="shared" si="7"/>
        <v>232.56261000000001</v>
      </c>
      <c r="J27" s="39">
        <f t="shared" si="7"/>
        <v>363.35250000000008</v>
      </c>
      <c r="K27" s="39">
        <f t="shared" si="7"/>
        <v>268.17304500000006</v>
      </c>
      <c r="L27" s="39">
        <f t="shared" si="7"/>
        <v>388.3950000000001</v>
      </c>
      <c r="M27" s="39">
        <f t="shared" si="7"/>
        <v>388.3950000000001</v>
      </c>
      <c r="N27" s="39">
        <f t="shared" si="7"/>
        <v>268.17304500000006</v>
      </c>
      <c r="O27" s="39">
        <f t="shared" si="7"/>
        <v>268.17304500000006</v>
      </c>
      <c r="P27" s="39">
        <f t="shared" si="7"/>
        <v>388.3950000000001</v>
      </c>
      <c r="Q27" s="39">
        <f t="shared" si="7"/>
        <v>238.14000000000007</v>
      </c>
      <c r="R27" s="39">
        <f t="shared" si="7"/>
        <v>438.48000000000013</v>
      </c>
      <c r="S27" s="39">
        <f t="shared" si="7"/>
        <v>438.48000000000013</v>
      </c>
      <c r="T27" s="39">
        <f t="shared" si="7"/>
        <v>438.48000000000013</v>
      </c>
      <c r="U27" s="39">
        <f t="shared" si="7"/>
        <v>438.48000000000013</v>
      </c>
      <c r="V27" s="39">
        <f t="shared" si="7"/>
        <v>438.48000000000013</v>
      </c>
      <c r="W27" s="39">
        <f t="shared" si="7"/>
        <v>388.3950000000001</v>
      </c>
      <c r="X27" s="39">
        <f t="shared" si="7"/>
        <v>238.14000000000007</v>
      </c>
      <c r="Y27" s="39">
        <f t="shared" si="7"/>
        <v>232.56261000000001</v>
      </c>
      <c r="Z27" s="39">
        <f t="shared" si="7"/>
        <v>232.56261000000001</v>
      </c>
      <c r="AA27" s="39">
        <f t="shared" si="7"/>
        <v>232.56261000000001</v>
      </c>
      <c r="AB27" s="38">
        <f t="shared" si="7"/>
        <v>232.56261000000001</v>
      </c>
      <c r="AC27" s="42">
        <f t="shared" si="7"/>
        <v>219.24000000000004</v>
      </c>
      <c r="AD27" s="142"/>
      <c r="AE27" s="19"/>
      <c r="AF27" s="43"/>
      <c r="AG27" s="125"/>
    </row>
    <row r="28" spans="1:34" s="10" customFormat="1" x14ac:dyDescent="0.2">
      <c r="A28" s="28" t="s">
        <v>101</v>
      </c>
      <c r="B28" s="39">
        <f>AVERAGE(AA27:AB27,B27)</f>
        <v>228.12174000000002</v>
      </c>
      <c r="C28" s="39">
        <f>AVERAGE(AB27,B27:C27)</f>
        <v>223.68087</v>
      </c>
      <c r="D28" s="39">
        <f t="shared" ref="D28:AB28" si="8">AVERAGE(B27:D27)</f>
        <v>219.24</v>
      </c>
      <c r="E28" s="39">
        <f t="shared" si="8"/>
        <v>219.24</v>
      </c>
      <c r="F28" s="39">
        <f t="shared" si="8"/>
        <v>219.24</v>
      </c>
      <c r="G28" s="39">
        <f t="shared" si="8"/>
        <v>219.24</v>
      </c>
      <c r="H28" s="39">
        <f t="shared" si="8"/>
        <v>219.24</v>
      </c>
      <c r="I28" s="39">
        <f t="shared" si="8"/>
        <v>223.68087</v>
      </c>
      <c r="J28" s="39">
        <f t="shared" si="8"/>
        <v>271.71837000000005</v>
      </c>
      <c r="K28" s="39">
        <f t="shared" si="8"/>
        <v>288.02938500000005</v>
      </c>
      <c r="L28" s="39">
        <f t="shared" si="8"/>
        <v>339.97351500000008</v>
      </c>
      <c r="M28" s="39">
        <f t="shared" si="8"/>
        <v>348.32101500000016</v>
      </c>
      <c r="N28" s="39">
        <f t="shared" si="8"/>
        <v>348.32101500000005</v>
      </c>
      <c r="O28" s="39">
        <f t="shared" si="8"/>
        <v>308.24703000000005</v>
      </c>
      <c r="P28" s="39">
        <f t="shared" si="8"/>
        <v>308.24703000000005</v>
      </c>
      <c r="Q28" s="39">
        <f t="shared" si="8"/>
        <v>298.23601500000012</v>
      </c>
      <c r="R28" s="39">
        <f t="shared" si="8"/>
        <v>355.00500000000011</v>
      </c>
      <c r="S28" s="39">
        <f t="shared" si="8"/>
        <v>371.7000000000001</v>
      </c>
      <c r="T28" s="39">
        <f t="shared" si="8"/>
        <v>438.48000000000019</v>
      </c>
      <c r="U28" s="39">
        <f t="shared" si="8"/>
        <v>438.48000000000019</v>
      </c>
      <c r="V28" s="39">
        <f t="shared" si="8"/>
        <v>438.48000000000019</v>
      </c>
      <c r="W28" s="39">
        <f t="shared" si="8"/>
        <v>421.78500000000014</v>
      </c>
      <c r="X28" s="39">
        <f t="shared" si="8"/>
        <v>355.00500000000011</v>
      </c>
      <c r="Y28" s="39">
        <f t="shared" si="8"/>
        <v>286.36587000000009</v>
      </c>
      <c r="Z28" s="39">
        <f t="shared" si="8"/>
        <v>234.42174</v>
      </c>
      <c r="AA28" s="39">
        <f t="shared" si="8"/>
        <v>232.56261000000003</v>
      </c>
      <c r="AB28" s="38">
        <f t="shared" si="8"/>
        <v>232.56261000000003</v>
      </c>
      <c r="AC28" s="42"/>
      <c r="AD28" s="142"/>
      <c r="AE28" s="19"/>
      <c r="AF28" s="43"/>
      <c r="AG28" s="125"/>
    </row>
    <row r="29" spans="1:34" s="10" customFormat="1" x14ac:dyDescent="0.2">
      <c r="A29" s="123" t="s">
        <v>102</v>
      </c>
      <c r="B29" s="41"/>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277"/>
      <c r="AD29" s="142"/>
      <c r="AF29" s="128"/>
      <c r="AG29" s="127"/>
    </row>
    <row r="30" spans="1:34" s="10" customFormat="1" x14ac:dyDescent="0.2">
      <c r="A30" s="28" t="s">
        <v>103</v>
      </c>
      <c r="B30" s="39">
        <f t="shared" ref="B30:AC30" si="9">IF(ISBLANK(B95),0,$B$11)</f>
        <v>0</v>
      </c>
      <c r="C30" s="39">
        <f t="shared" si="9"/>
        <v>0</v>
      </c>
      <c r="D30" s="39">
        <f t="shared" si="9"/>
        <v>0</v>
      </c>
      <c r="E30" s="39">
        <f t="shared" si="9"/>
        <v>0</v>
      </c>
      <c r="F30" s="39">
        <f t="shared" si="9"/>
        <v>0</v>
      </c>
      <c r="G30" s="39">
        <f t="shared" si="9"/>
        <v>0</v>
      </c>
      <c r="H30" s="39">
        <f t="shared" si="9"/>
        <v>0</v>
      </c>
      <c r="I30" s="39">
        <f t="shared" si="9"/>
        <v>0</v>
      </c>
      <c r="J30" s="39">
        <f t="shared" si="9"/>
        <v>0</v>
      </c>
      <c r="K30" s="39">
        <f t="shared" si="9"/>
        <v>0</v>
      </c>
      <c r="L30" s="39">
        <f t="shared" si="9"/>
        <v>0</v>
      </c>
      <c r="M30" s="39">
        <f t="shared" si="9"/>
        <v>0</v>
      </c>
      <c r="N30" s="39">
        <f t="shared" si="9"/>
        <v>0</v>
      </c>
      <c r="O30" s="39">
        <f t="shared" si="9"/>
        <v>0</v>
      </c>
      <c r="P30" s="39">
        <f t="shared" si="9"/>
        <v>0</v>
      </c>
      <c r="Q30" s="39">
        <f t="shared" si="9"/>
        <v>0</v>
      </c>
      <c r="R30" s="39">
        <f t="shared" si="9"/>
        <v>0</v>
      </c>
      <c r="S30" s="39">
        <f t="shared" si="9"/>
        <v>0</v>
      </c>
      <c r="T30" s="39">
        <f t="shared" si="9"/>
        <v>0</v>
      </c>
      <c r="U30" s="39">
        <f t="shared" si="9"/>
        <v>0</v>
      </c>
      <c r="V30" s="39">
        <f t="shared" si="9"/>
        <v>0</v>
      </c>
      <c r="W30" s="39">
        <f t="shared" si="9"/>
        <v>0</v>
      </c>
      <c r="X30" s="39">
        <f t="shared" si="9"/>
        <v>0</v>
      </c>
      <c r="Y30" s="39">
        <f t="shared" si="9"/>
        <v>0</v>
      </c>
      <c r="Z30" s="39">
        <f t="shared" si="9"/>
        <v>0</v>
      </c>
      <c r="AA30" s="39">
        <f t="shared" si="9"/>
        <v>0</v>
      </c>
      <c r="AB30" s="38">
        <f t="shared" si="9"/>
        <v>0</v>
      </c>
      <c r="AC30" s="39">
        <f t="shared" si="9"/>
        <v>0</v>
      </c>
      <c r="AD30" s="142"/>
      <c r="AE30" s="1"/>
      <c r="AF30" s="128"/>
      <c r="AG30" s="127"/>
      <c r="AH30" s="1"/>
    </row>
    <row r="31" spans="1:34" ht="12.75" x14ac:dyDescent="0.2">
      <c r="A31" s="27" t="s">
        <v>104</v>
      </c>
      <c r="B31" s="154"/>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277"/>
      <c r="AD31" s="133"/>
    </row>
    <row r="32" spans="1:34" s="10" customFormat="1" x14ac:dyDescent="0.2">
      <c r="A32" s="35" t="s">
        <v>105</v>
      </c>
      <c r="B32" s="37">
        <v>0.7</v>
      </c>
      <c r="C32" s="37">
        <v>0.7</v>
      </c>
      <c r="D32" s="37">
        <v>0.7</v>
      </c>
      <c r="E32" s="37">
        <v>0.7</v>
      </c>
      <c r="F32" s="37">
        <v>0.7</v>
      </c>
      <c r="G32" s="37">
        <v>0.7</v>
      </c>
      <c r="H32" s="37">
        <v>0.8</v>
      </c>
      <c r="I32" s="37">
        <v>0.8</v>
      </c>
      <c r="J32" s="37">
        <v>0.8</v>
      </c>
      <c r="K32" s="37">
        <v>0.9</v>
      </c>
      <c r="L32" s="37">
        <v>0.9</v>
      </c>
      <c r="M32" s="37">
        <v>0.9</v>
      </c>
      <c r="N32" s="37">
        <v>1</v>
      </c>
      <c r="O32" s="37">
        <v>1</v>
      </c>
      <c r="P32" s="37">
        <v>1</v>
      </c>
      <c r="Q32" s="37">
        <v>1</v>
      </c>
      <c r="R32" s="37">
        <v>1</v>
      </c>
      <c r="S32" s="37">
        <v>1</v>
      </c>
      <c r="T32" s="37">
        <v>1</v>
      </c>
      <c r="U32" s="37">
        <v>1</v>
      </c>
      <c r="V32" s="37">
        <v>1</v>
      </c>
      <c r="W32" s="37">
        <v>1</v>
      </c>
      <c r="X32" s="37">
        <v>1</v>
      </c>
      <c r="Y32" s="37">
        <v>1</v>
      </c>
      <c r="Z32" s="37">
        <v>1</v>
      </c>
      <c r="AA32" s="37">
        <v>1</v>
      </c>
      <c r="AB32" s="36">
        <v>1</v>
      </c>
      <c r="AC32" s="37">
        <v>0.7</v>
      </c>
      <c r="AD32" s="140"/>
      <c r="AE32" s="103"/>
      <c r="AF32" s="103"/>
      <c r="AG32" s="103"/>
    </row>
    <row r="33" spans="1:33" s="10" customFormat="1" x14ac:dyDescent="0.2">
      <c r="A33" s="35" t="s">
        <v>106</v>
      </c>
      <c r="B33" s="301">
        <f t="shared" ref="B33:AC33" si="10">B32*0.8</f>
        <v>0.55999999999999994</v>
      </c>
      <c r="C33" s="301">
        <f t="shared" si="10"/>
        <v>0.55999999999999994</v>
      </c>
      <c r="D33" s="301">
        <f t="shared" si="10"/>
        <v>0.55999999999999994</v>
      </c>
      <c r="E33" s="301">
        <f t="shared" si="10"/>
        <v>0.55999999999999994</v>
      </c>
      <c r="F33" s="301">
        <f t="shared" si="10"/>
        <v>0.55999999999999994</v>
      </c>
      <c r="G33" s="301">
        <f t="shared" si="10"/>
        <v>0.55999999999999994</v>
      </c>
      <c r="H33" s="301">
        <f t="shared" si="10"/>
        <v>0.64000000000000012</v>
      </c>
      <c r="I33" s="301">
        <f t="shared" si="10"/>
        <v>0.64000000000000012</v>
      </c>
      <c r="J33" s="301">
        <f t="shared" si="10"/>
        <v>0.64000000000000012</v>
      </c>
      <c r="K33" s="301">
        <f t="shared" si="10"/>
        <v>0.72000000000000008</v>
      </c>
      <c r="L33" s="301">
        <f t="shared" si="10"/>
        <v>0.72000000000000008</v>
      </c>
      <c r="M33" s="301">
        <f t="shared" si="10"/>
        <v>0.72000000000000008</v>
      </c>
      <c r="N33" s="301">
        <f t="shared" si="10"/>
        <v>0.8</v>
      </c>
      <c r="O33" s="301">
        <f t="shared" si="10"/>
        <v>0.8</v>
      </c>
      <c r="P33" s="301">
        <f t="shared" si="10"/>
        <v>0.8</v>
      </c>
      <c r="Q33" s="301">
        <f t="shared" si="10"/>
        <v>0.8</v>
      </c>
      <c r="R33" s="301">
        <f t="shared" si="10"/>
        <v>0.8</v>
      </c>
      <c r="S33" s="301">
        <f t="shared" si="10"/>
        <v>0.8</v>
      </c>
      <c r="T33" s="301">
        <f t="shared" si="10"/>
        <v>0.8</v>
      </c>
      <c r="U33" s="301">
        <f t="shared" si="10"/>
        <v>0.8</v>
      </c>
      <c r="V33" s="301">
        <f t="shared" si="10"/>
        <v>0.8</v>
      </c>
      <c r="W33" s="301">
        <f t="shared" si="10"/>
        <v>0.8</v>
      </c>
      <c r="X33" s="301">
        <f t="shared" si="10"/>
        <v>0.8</v>
      </c>
      <c r="Y33" s="301">
        <f t="shared" si="10"/>
        <v>0.8</v>
      </c>
      <c r="Z33" s="301">
        <f t="shared" si="10"/>
        <v>0.8</v>
      </c>
      <c r="AA33" s="301">
        <f t="shared" si="10"/>
        <v>0.8</v>
      </c>
      <c r="AB33" s="301">
        <f t="shared" si="10"/>
        <v>0.8</v>
      </c>
      <c r="AC33" s="301">
        <f t="shared" si="10"/>
        <v>0.55999999999999994</v>
      </c>
      <c r="AD33" s="140"/>
      <c r="AE33" s="103"/>
      <c r="AF33" s="103"/>
      <c r="AG33" s="103"/>
    </row>
    <row r="34" spans="1:33" s="10" customFormat="1" x14ac:dyDescent="0.2">
      <c r="A34" s="35" t="s">
        <v>107</v>
      </c>
      <c r="B34" s="359">
        <f t="shared" ref="B34:AC34" si="11">((B36*$B$117)/$B$2)</f>
        <v>0.18480000000000002</v>
      </c>
      <c r="C34" s="359">
        <f t="shared" si="11"/>
        <v>0.18480000000000002</v>
      </c>
      <c r="D34" s="359">
        <f t="shared" si="11"/>
        <v>0.18480000000000002</v>
      </c>
      <c r="E34" s="359">
        <f t="shared" si="11"/>
        <v>0.18480000000000002</v>
      </c>
      <c r="F34" s="359">
        <f t="shared" si="11"/>
        <v>0.18480000000000002</v>
      </c>
      <c r="G34" s="359">
        <f t="shared" si="11"/>
        <v>0.18480000000000002</v>
      </c>
      <c r="H34" s="359">
        <f t="shared" si="11"/>
        <v>0.21120000000000003</v>
      </c>
      <c r="I34" s="359">
        <f t="shared" si="11"/>
        <v>0.21120000000000003</v>
      </c>
      <c r="J34" s="359">
        <f t="shared" si="11"/>
        <v>0.21120000000000003</v>
      </c>
      <c r="K34" s="359">
        <f t="shared" si="11"/>
        <v>0.23760000000000001</v>
      </c>
      <c r="L34" s="359">
        <f t="shared" si="11"/>
        <v>0.23760000000000001</v>
      </c>
      <c r="M34" s="359">
        <f t="shared" si="11"/>
        <v>0.23760000000000001</v>
      </c>
      <c r="N34" s="359">
        <f t="shared" si="11"/>
        <v>0.26399999999999996</v>
      </c>
      <c r="O34" s="359">
        <f t="shared" si="11"/>
        <v>0.26399999999999996</v>
      </c>
      <c r="P34" s="359">
        <f t="shared" si="11"/>
        <v>0.26399999999999996</v>
      </c>
      <c r="Q34" s="359">
        <f t="shared" si="11"/>
        <v>0.26399999999999996</v>
      </c>
      <c r="R34" s="359">
        <f t="shared" si="11"/>
        <v>0.26399999999999996</v>
      </c>
      <c r="S34" s="359">
        <f t="shared" si="11"/>
        <v>0.26399999999999996</v>
      </c>
      <c r="T34" s="359">
        <f t="shared" si="11"/>
        <v>0.26399999999999996</v>
      </c>
      <c r="U34" s="359">
        <f t="shared" si="11"/>
        <v>0.26399999999999996</v>
      </c>
      <c r="V34" s="359">
        <f t="shared" si="11"/>
        <v>0.26399999999999996</v>
      </c>
      <c r="W34" s="359">
        <f t="shared" si="11"/>
        <v>0.26399999999999996</v>
      </c>
      <c r="X34" s="359">
        <f t="shared" si="11"/>
        <v>0.26399999999999996</v>
      </c>
      <c r="Y34" s="359">
        <f t="shared" si="11"/>
        <v>0.26399999999999996</v>
      </c>
      <c r="Z34" s="359">
        <f t="shared" si="11"/>
        <v>0.26399999999999996</v>
      </c>
      <c r="AA34" s="359">
        <f t="shared" si="11"/>
        <v>0.26399999999999996</v>
      </c>
      <c r="AB34" s="359">
        <f t="shared" si="11"/>
        <v>0.26399999999999996</v>
      </c>
      <c r="AC34" s="359">
        <f t="shared" si="11"/>
        <v>0.18480000000000002</v>
      </c>
      <c r="AD34" s="140"/>
      <c r="AE34" s="103"/>
      <c r="AF34" s="103"/>
      <c r="AG34" s="103"/>
    </row>
    <row r="35" spans="1:33" s="10" customFormat="1" x14ac:dyDescent="0.2">
      <c r="A35" s="33" t="s">
        <v>108</v>
      </c>
      <c r="B35" s="32">
        <f t="shared" ref="B35:AC35" si="12">ROUND($B$2*B$32,2)</f>
        <v>9.8000000000000007</v>
      </c>
      <c r="C35" s="32">
        <f t="shared" si="12"/>
        <v>9.8000000000000007</v>
      </c>
      <c r="D35" s="32">
        <f t="shared" si="12"/>
        <v>9.8000000000000007</v>
      </c>
      <c r="E35" s="32">
        <f t="shared" si="12"/>
        <v>9.8000000000000007</v>
      </c>
      <c r="F35" s="32">
        <f t="shared" si="12"/>
        <v>9.8000000000000007</v>
      </c>
      <c r="G35" s="32">
        <f t="shared" si="12"/>
        <v>9.8000000000000007</v>
      </c>
      <c r="H35" s="32">
        <f t="shared" si="12"/>
        <v>11.2</v>
      </c>
      <c r="I35" s="32">
        <f t="shared" si="12"/>
        <v>11.2</v>
      </c>
      <c r="J35" s="32">
        <f t="shared" si="12"/>
        <v>11.2</v>
      </c>
      <c r="K35" s="32">
        <f t="shared" si="12"/>
        <v>12.6</v>
      </c>
      <c r="L35" s="32">
        <f t="shared" si="12"/>
        <v>12.6</v>
      </c>
      <c r="M35" s="32">
        <f t="shared" si="12"/>
        <v>12.6</v>
      </c>
      <c r="N35" s="32">
        <f t="shared" si="12"/>
        <v>14</v>
      </c>
      <c r="O35" s="32">
        <f t="shared" si="12"/>
        <v>14</v>
      </c>
      <c r="P35" s="32">
        <f t="shared" si="12"/>
        <v>14</v>
      </c>
      <c r="Q35" s="32">
        <f t="shared" si="12"/>
        <v>14</v>
      </c>
      <c r="R35" s="32">
        <f t="shared" si="12"/>
        <v>14</v>
      </c>
      <c r="S35" s="32">
        <f t="shared" si="12"/>
        <v>14</v>
      </c>
      <c r="T35" s="32">
        <f t="shared" si="12"/>
        <v>14</v>
      </c>
      <c r="U35" s="32">
        <f t="shared" si="12"/>
        <v>14</v>
      </c>
      <c r="V35" s="32">
        <f t="shared" si="12"/>
        <v>14</v>
      </c>
      <c r="W35" s="32">
        <f t="shared" si="12"/>
        <v>14</v>
      </c>
      <c r="X35" s="32">
        <f t="shared" si="12"/>
        <v>14</v>
      </c>
      <c r="Y35" s="32">
        <f t="shared" si="12"/>
        <v>14</v>
      </c>
      <c r="Z35" s="32">
        <f t="shared" si="12"/>
        <v>14</v>
      </c>
      <c r="AA35" s="32">
        <f t="shared" si="12"/>
        <v>14</v>
      </c>
      <c r="AB35" s="31">
        <f t="shared" si="12"/>
        <v>14</v>
      </c>
      <c r="AC35" s="32">
        <f t="shared" si="12"/>
        <v>9.8000000000000007</v>
      </c>
      <c r="AD35" s="139"/>
      <c r="AE35" s="11"/>
      <c r="AF35" s="11"/>
      <c r="AG35" s="11"/>
    </row>
    <row r="36" spans="1:33" s="10" customFormat="1" x14ac:dyDescent="0.2">
      <c r="A36" s="33" t="s">
        <v>109</v>
      </c>
      <c r="B36" s="32">
        <f t="shared" ref="B36:AC36" si="13">ROUND($B$2*B$33,2)</f>
        <v>7.84</v>
      </c>
      <c r="C36" s="32">
        <f t="shared" si="13"/>
        <v>7.84</v>
      </c>
      <c r="D36" s="32">
        <f t="shared" si="13"/>
        <v>7.84</v>
      </c>
      <c r="E36" s="32">
        <f t="shared" si="13"/>
        <v>7.84</v>
      </c>
      <c r="F36" s="32">
        <f t="shared" si="13"/>
        <v>7.84</v>
      </c>
      <c r="G36" s="32">
        <f t="shared" si="13"/>
        <v>7.84</v>
      </c>
      <c r="H36" s="32">
        <f t="shared" si="13"/>
        <v>8.9600000000000009</v>
      </c>
      <c r="I36" s="32">
        <f t="shared" si="13"/>
        <v>8.9600000000000009</v>
      </c>
      <c r="J36" s="32">
        <f t="shared" si="13"/>
        <v>8.9600000000000009</v>
      </c>
      <c r="K36" s="32">
        <f t="shared" si="13"/>
        <v>10.08</v>
      </c>
      <c r="L36" s="32">
        <f t="shared" si="13"/>
        <v>10.08</v>
      </c>
      <c r="M36" s="32">
        <f t="shared" si="13"/>
        <v>10.08</v>
      </c>
      <c r="N36" s="32">
        <f t="shared" si="13"/>
        <v>11.2</v>
      </c>
      <c r="O36" s="32">
        <f t="shared" si="13"/>
        <v>11.2</v>
      </c>
      <c r="P36" s="32">
        <f t="shared" si="13"/>
        <v>11.2</v>
      </c>
      <c r="Q36" s="32">
        <f t="shared" si="13"/>
        <v>11.2</v>
      </c>
      <c r="R36" s="32">
        <f t="shared" si="13"/>
        <v>11.2</v>
      </c>
      <c r="S36" s="32">
        <f t="shared" si="13"/>
        <v>11.2</v>
      </c>
      <c r="T36" s="32">
        <f t="shared" si="13"/>
        <v>11.2</v>
      </c>
      <c r="U36" s="32">
        <f t="shared" si="13"/>
        <v>11.2</v>
      </c>
      <c r="V36" s="32">
        <f t="shared" si="13"/>
        <v>11.2</v>
      </c>
      <c r="W36" s="32">
        <f t="shared" si="13"/>
        <v>11.2</v>
      </c>
      <c r="X36" s="32">
        <f t="shared" si="13"/>
        <v>11.2</v>
      </c>
      <c r="Y36" s="32">
        <f t="shared" si="13"/>
        <v>11.2</v>
      </c>
      <c r="Z36" s="32">
        <f t="shared" si="13"/>
        <v>11.2</v>
      </c>
      <c r="AA36" s="32">
        <f t="shared" si="13"/>
        <v>11.2</v>
      </c>
      <c r="AB36" s="31">
        <f t="shared" si="13"/>
        <v>11.2</v>
      </c>
      <c r="AC36" s="32">
        <f t="shared" si="13"/>
        <v>7.84</v>
      </c>
      <c r="AD36" s="139"/>
      <c r="AE36" s="11"/>
      <c r="AF36" s="11"/>
      <c r="AG36" s="130"/>
    </row>
    <row r="37" spans="1:33" s="10" customFormat="1" x14ac:dyDescent="0.2">
      <c r="A37" s="274" t="s">
        <v>110</v>
      </c>
      <c r="B37" s="360">
        <f>B34*$B$2</f>
        <v>2.5872000000000002</v>
      </c>
      <c r="C37" s="360">
        <f t="shared" ref="C37:AC37" si="14">C34*$B$2</f>
        <v>2.5872000000000002</v>
      </c>
      <c r="D37" s="360">
        <f t="shared" si="14"/>
        <v>2.5872000000000002</v>
      </c>
      <c r="E37" s="360">
        <f t="shared" si="14"/>
        <v>2.5872000000000002</v>
      </c>
      <c r="F37" s="360">
        <f t="shared" si="14"/>
        <v>2.5872000000000002</v>
      </c>
      <c r="G37" s="360">
        <f t="shared" si="14"/>
        <v>2.5872000000000002</v>
      </c>
      <c r="H37" s="360">
        <f t="shared" si="14"/>
        <v>2.9568000000000003</v>
      </c>
      <c r="I37" s="360">
        <f t="shared" si="14"/>
        <v>2.9568000000000003</v>
      </c>
      <c r="J37" s="360">
        <f t="shared" si="14"/>
        <v>2.9568000000000003</v>
      </c>
      <c r="K37" s="360">
        <f t="shared" si="14"/>
        <v>3.3264</v>
      </c>
      <c r="L37" s="360">
        <f t="shared" si="14"/>
        <v>3.3264</v>
      </c>
      <c r="M37" s="360">
        <f t="shared" si="14"/>
        <v>3.3264</v>
      </c>
      <c r="N37" s="360">
        <f t="shared" si="14"/>
        <v>3.6959999999999993</v>
      </c>
      <c r="O37" s="360">
        <f t="shared" si="14"/>
        <v>3.6959999999999993</v>
      </c>
      <c r="P37" s="360">
        <f t="shared" si="14"/>
        <v>3.6959999999999993</v>
      </c>
      <c r="Q37" s="360">
        <f t="shared" si="14"/>
        <v>3.6959999999999993</v>
      </c>
      <c r="R37" s="360">
        <f t="shared" si="14"/>
        <v>3.6959999999999993</v>
      </c>
      <c r="S37" s="360">
        <f t="shared" si="14"/>
        <v>3.6959999999999993</v>
      </c>
      <c r="T37" s="360">
        <f t="shared" si="14"/>
        <v>3.6959999999999993</v>
      </c>
      <c r="U37" s="360">
        <f t="shared" si="14"/>
        <v>3.6959999999999993</v>
      </c>
      <c r="V37" s="360">
        <f t="shared" si="14"/>
        <v>3.6959999999999993</v>
      </c>
      <c r="W37" s="360">
        <f t="shared" si="14"/>
        <v>3.6959999999999993</v>
      </c>
      <c r="X37" s="360">
        <f t="shared" si="14"/>
        <v>3.6959999999999993</v>
      </c>
      <c r="Y37" s="360">
        <f t="shared" si="14"/>
        <v>3.6959999999999993</v>
      </c>
      <c r="Z37" s="360">
        <f t="shared" si="14"/>
        <v>3.6959999999999993</v>
      </c>
      <c r="AA37" s="360">
        <f t="shared" si="14"/>
        <v>3.6959999999999993</v>
      </c>
      <c r="AB37" s="360">
        <f t="shared" si="14"/>
        <v>3.6959999999999993</v>
      </c>
      <c r="AC37" s="360">
        <f t="shared" si="14"/>
        <v>2.5872000000000002</v>
      </c>
      <c r="AD37" s="139"/>
      <c r="AE37" s="11"/>
      <c r="AF37" s="11"/>
      <c r="AG37" s="130"/>
    </row>
    <row r="38" spans="1:33" s="181" customFormat="1" ht="12.75" x14ac:dyDescent="0.2">
      <c r="A38" s="178" t="s">
        <v>111</v>
      </c>
      <c r="B38" s="179"/>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278"/>
    </row>
    <row r="39" spans="1:33" x14ac:dyDescent="0.2">
      <c r="A39" s="352" t="s">
        <v>168</v>
      </c>
      <c r="B39" s="361">
        <f t="shared" ref="B39:AC39" si="15">B$36*$B118</f>
        <v>2.5872000000000002</v>
      </c>
      <c r="C39" s="361">
        <f t="shared" si="15"/>
        <v>2.5872000000000002</v>
      </c>
      <c r="D39" s="361">
        <f t="shared" si="15"/>
        <v>2.5872000000000002</v>
      </c>
      <c r="E39" s="361">
        <f t="shared" si="15"/>
        <v>2.5872000000000002</v>
      </c>
      <c r="F39" s="361">
        <f t="shared" si="15"/>
        <v>2.5872000000000002</v>
      </c>
      <c r="G39" s="361">
        <f t="shared" si="15"/>
        <v>2.5872000000000002</v>
      </c>
      <c r="H39" s="361">
        <f t="shared" si="15"/>
        <v>2.9568000000000003</v>
      </c>
      <c r="I39" s="361">
        <f t="shared" si="15"/>
        <v>2.9568000000000003</v>
      </c>
      <c r="J39" s="361">
        <f t="shared" si="15"/>
        <v>2.9568000000000003</v>
      </c>
      <c r="K39" s="361">
        <f t="shared" si="15"/>
        <v>3.3264</v>
      </c>
      <c r="L39" s="361">
        <f t="shared" si="15"/>
        <v>3.3264</v>
      </c>
      <c r="M39" s="361">
        <f t="shared" si="15"/>
        <v>3.3264</v>
      </c>
      <c r="N39" s="361">
        <f t="shared" si="15"/>
        <v>3.6959999999999997</v>
      </c>
      <c r="O39" s="361">
        <f t="shared" si="15"/>
        <v>3.6959999999999997</v>
      </c>
      <c r="P39" s="361">
        <f t="shared" si="15"/>
        <v>3.6959999999999997</v>
      </c>
      <c r="Q39" s="361">
        <f t="shared" si="15"/>
        <v>3.6959999999999997</v>
      </c>
      <c r="R39" s="361">
        <f t="shared" si="15"/>
        <v>3.6959999999999997</v>
      </c>
      <c r="S39" s="361">
        <f t="shared" si="15"/>
        <v>3.6959999999999997</v>
      </c>
      <c r="T39" s="361">
        <f t="shared" si="15"/>
        <v>3.6959999999999997</v>
      </c>
      <c r="U39" s="361">
        <f t="shared" si="15"/>
        <v>3.6959999999999997</v>
      </c>
      <c r="V39" s="361">
        <f t="shared" si="15"/>
        <v>3.6959999999999997</v>
      </c>
      <c r="W39" s="361">
        <f t="shared" si="15"/>
        <v>3.6959999999999997</v>
      </c>
      <c r="X39" s="361">
        <f t="shared" si="15"/>
        <v>3.6959999999999997</v>
      </c>
      <c r="Y39" s="361">
        <f t="shared" si="15"/>
        <v>3.6959999999999997</v>
      </c>
      <c r="Z39" s="361">
        <f t="shared" si="15"/>
        <v>3.6959999999999997</v>
      </c>
      <c r="AA39" s="361">
        <f t="shared" si="15"/>
        <v>3.6959999999999997</v>
      </c>
      <c r="AB39" s="361">
        <f t="shared" si="15"/>
        <v>3.6959999999999997</v>
      </c>
      <c r="AC39" s="361">
        <f t="shared" si="15"/>
        <v>2.5872000000000002</v>
      </c>
      <c r="AD39" s="144"/>
      <c r="AE39" s="30"/>
      <c r="AF39" s="30"/>
      <c r="AG39" s="30"/>
    </row>
    <row r="40" spans="1:33" x14ac:dyDescent="0.2">
      <c r="A40" s="352" t="s">
        <v>169</v>
      </c>
      <c r="B40" s="361">
        <f t="shared" ref="B40:AC40" si="16">B$36*$B119</f>
        <v>2.5872000000000002</v>
      </c>
      <c r="C40" s="361">
        <f t="shared" si="16"/>
        <v>2.5872000000000002</v>
      </c>
      <c r="D40" s="361">
        <f t="shared" si="16"/>
        <v>2.5872000000000002</v>
      </c>
      <c r="E40" s="361">
        <f t="shared" si="16"/>
        <v>2.5872000000000002</v>
      </c>
      <c r="F40" s="361">
        <f t="shared" si="16"/>
        <v>2.5872000000000002</v>
      </c>
      <c r="G40" s="361">
        <f t="shared" si="16"/>
        <v>2.5872000000000002</v>
      </c>
      <c r="H40" s="361">
        <f t="shared" si="16"/>
        <v>2.9568000000000003</v>
      </c>
      <c r="I40" s="361">
        <f t="shared" si="16"/>
        <v>2.9568000000000003</v>
      </c>
      <c r="J40" s="361">
        <f t="shared" si="16"/>
        <v>2.9568000000000003</v>
      </c>
      <c r="K40" s="361">
        <f t="shared" si="16"/>
        <v>3.3264</v>
      </c>
      <c r="L40" s="361">
        <f t="shared" si="16"/>
        <v>3.3264</v>
      </c>
      <c r="M40" s="361">
        <f t="shared" si="16"/>
        <v>3.3264</v>
      </c>
      <c r="N40" s="361">
        <f t="shared" si="16"/>
        <v>3.6959999999999997</v>
      </c>
      <c r="O40" s="361">
        <f t="shared" si="16"/>
        <v>3.6959999999999997</v>
      </c>
      <c r="P40" s="361">
        <f t="shared" si="16"/>
        <v>3.6959999999999997</v>
      </c>
      <c r="Q40" s="361">
        <f t="shared" si="16"/>
        <v>3.6959999999999997</v>
      </c>
      <c r="R40" s="361">
        <f t="shared" si="16"/>
        <v>3.6959999999999997</v>
      </c>
      <c r="S40" s="361">
        <f t="shared" si="16"/>
        <v>3.6959999999999997</v>
      </c>
      <c r="T40" s="361">
        <f t="shared" si="16"/>
        <v>3.6959999999999997</v>
      </c>
      <c r="U40" s="361">
        <f t="shared" si="16"/>
        <v>3.6959999999999997</v>
      </c>
      <c r="V40" s="361">
        <f t="shared" si="16"/>
        <v>3.6959999999999997</v>
      </c>
      <c r="W40" s="361">
        <f t="shared" si="16"/>
        <v>3.6959999999999997</v>
      </c>
      <c r="X40" s="361">
        <f t="shared" si="16"/>
        <v>3.6959999999999997</v>
      </c>
      <c r="Y40" s="361">
        <f t="shared" si="16"/>
        <v>3.6959999999999997</v>
      </c>
      <c r="Z40" s="361">
        <f t="shared" si="16"/>
        <v>3.6959999999999997</v>
      </c>
      <c r="AA40" s="361">
        <f t="shared" si="16"/>
        <v>3.6959999999999997</v>
      </c>
      <c r="AB40" s="361">
        <f t="shared" si="16"/>
        <v>3.6959999999999997</v>
      </c>
      <c r="AC40" s="361">
        <f t="shared" si="16"/>
        <v>2.5872000000000002</v>
      </c>
      <c r="AD40" s="144"/>
      <c r="AE40" s="30"/>
      <c r="AF40" s="30"/>
      <c r="AG40" s="30"/>
    </row>
    <row r="41" spans="1:33" x14ac:dyDescent="0.2">
      <c r="A41" s="352" t="s">
        <v>170</v>
      </c>
      <c r="B41" s="361">
        <f t="shared" ref="B41:AC41" si="17">B$36*$B120</f>
        <v>2.5872000000000002</v>
      </c>
      <c r="C41" s="361">
        <f t="shared" si="17"/>
        <v>2.5872000000000002</v>
      </c>
      <c r="D41" s="361">
        <f t="shared" si="17"/>
        <v>2.5872000000000002</v>
      </c>
      <c r="E41" s="361">
        <f t="shared" si="17"/>
        <v>2.5872000000000002</v>
      </c>
      <c r="F41" s="361">
        <f t="shared" si="17"/>
        <v>2.5872000000000002</v>
      </c>
      <c r="G41" s="361">
        <f t="shared" si="17"/>
        <v>2.5872000000000002</v>
      </c>
      <c r="H41" s="361">
        <f t="shared" si="17"/>
        <v>2.9568000000000003</v>
      </c>
      <c r="I41" s="361">
        <f t="shared" si="17"/>
        <v>2.9568000000000003</v>
      </c>
      <c r="J41" s="361">
        <f t="shared" si="17"/>
        <v>2.9568000000000003</v>
      </c>
      <c r="K41" s="361">
        <f t="shared" si="17"/>
        <v>3.3264</v>
      </c>
      <c r="L41" s="361">
        <f t="shared" si="17"/>
        <v>3.3264</v>
      </c>
      <c r="M41" s="361">
        <f t="shared" si="17"/>
        <v>3.3264</v>
      </c>
      <c r="N41" s="361">
        <f t="shared" si="17"/>
        <v>3.6959999999999997</v>
      </c>
      <c r="O41" s="361">
        <f t="shared" si="17"/>
        <v>3.6959999999999997</v>
      </c>
      <c r="P41" s="361">
        <f t="shared" si="17"/>
        <v>3.6959999999999997</v>
      </c>
      <c r="Q41" s="361">
        <f t="shared" si="17"/>
        <v>3.6959999999999997</v>
      </c>
      <c r="R41" s="361">
        <f t="shared" si="17"/>
        <v>3.6959999999999997</v>
      </c>
      <c r="S41" s="361">
        <f t="shared" si="17"/>
        <v>3.6959999999999997</v>
      </c>
      <c r="T41" s="361">
        <f t="shared" si="17"/>
        <v>3.6959999999999997</v>
      </c>
      <c r="U41" s="361">
        <f t="shared" si="17"/>
        <v>3.6959999999999997</v>
      </c>
      <c r="V41" s="361">
        <f t="shared" si="17"/>
        <v>3.6959999999999997</v>
      </c>
      <c r="W41" s="361">
        <f t="shared" si="17"/>
        <v>3.6959999999999997</v>
      </c>
      <c r="X41" s="361">
        <f t="shared" si="17"/>
        <v>3.6959999999999997</v>
      </c>
      <c r="Y41" s="361">
        <f t="shared" si="17"/>
        <v>3.6959999999999997</v>
      </c>
      <c r="Z41" s="361">
        <f t="shared" si="17"/>
        <v>3.6959999999999997</v>
      </c>
      <c r="AA41" s="361">
        <f t="shared" si="17"/>
        <v>3.6959999999999997</v>
      </c>
      <c r="AB41" s="361">
        <f t="shared" si="17"/>
        <v>3.6959999999999997</v>
      </c>
      <c r="AC41" s="361">
        <f t="shared" si="17"/>
        <v>2.5872000000000002</v>
      </c>
      <c r="AD41" s="145"/>
      <c r="AE41" s="19"/>
      <c r="AF41" s="19"/>
      <c r="AG41" s="19"/>
    </row>
    <row r="42" spans="1:33" x14ac:dyDescent="0.2">
      <c r="A42" s="352" t="s">
        <v>171</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143"/>
      <c r="AE42" s="19"/>
      <c r="AF42" s="19"/>
      <c r="AG42" s="19"/>
    </row>
    <row r="43" spans="1:33" x14ac:dyDescent="0.2">
      <c r="A43" s="352" t="s">
        <v>172</v>
      </c>
      <c r="B43" s="361">
        <f t="shared" ref="B43:AC43" si="18">B$36*$B122</f>
        <v>2.5872000000000002</v>
      </c>
      <c r="C43" s="361">
        <f t="shared" si="18"/>
        <v>2.5872000000000002</v>
      </c>
      <c r="D43" s="361">
        <f t="shared" si="18"/>
        <v>2.5872000000000002</v>
      </c>
      <c r="E43" s="361">
        <f t="shared" si="18"/>
        <v>2.5872000000000002</v>
      </c>
      <c r="F43" s="361">
        <f t="shared" si="18"/>
        <v>2.5872000000000002</v>
      </c>
      <c r="G43" s="361">
        <f t="shared" si="18"/>
        <v>2.5872000000000002</v>
      </c>
      <c r="H43" s="361">
        <f t="shared" si="18"/>
        <v>2.9568000000000003</v>
      </c>
      <c r="I43" s="361">
        <f t="shared" si="18"/>
        <v>2.9568000000000003</v>
      </c>
      <c r="J43" s="361">
        <f t="shared" si="18"/>
        <v>2.9568000000000003</v>
      </c>
      <c r="K43" s="361">
        <f t="shared" si="18"/>
        <v>3.3264</v>
      </c>
      <c r="L43" s="361">
        <f t="shared" si="18"/>
        <v>3.3264</v>
      </c>
      <c r="M43" s="361">
        <f t="shared" si="18"/>
        <v>3.3264</v>
      </c>
      <c r="N43" s="361">
        <f t="shared" si="18"/>
        <v>3.6959999999999997</v>
      </c>
      <c r="O43" s="361">
        <f t="shared" si="18"/>
        <v>3.6959999999999997</v>
      </c>
      <c r="P43" s="361">
        <f t="shared" si="18"/>
        <v>3.6959999999999997</v>
      </c>
      <c r="Q43" s="361">
        <f t="shared" si="18"/>
        <v>3.6959999999999997</v>
      </c>
      <c r="R43" s="361">
        <f t="shared" si="18"/>
        <v>3.6959999999999997</v>
      </c>
      <c r="S43" s="361">
        <f t="shared" si="18"/>
        <v>3.6959999999999997</v>
      </c>
      <c r="T43" s="361">
        <f t="shared" si="18"/>
        <v>3.6959999999999997</v>
      </c>
      <c r="U43" s="361">
        <f t="shared" si="18"/>
        <v>3.6959999999999997</v>
      </c>
      <c r="V43" s="361">
        <f t="shared" si="18"/>
        <v>3.6959999999999997</v>
      </c>
      <c r="W43" s="361">
        <f t="shared" si="18"/>
        <v>3.6959999999999997</v>
      </c>
      <c r="X43" s="361">
        <f t="shared" si="18"/>
        <v>3.6959999999999997</v>
      </c>
      <c r="Y43" s="361">
        <f t="shared" si="18"/>
        <v>3.6959999999999997</v>
      </c>
      <c r="Z43" s="361">
        <f t="shared" si="18"/>
        <v>3.6959999999999997</v>
      </c>
      <c r="AA43" s="361">
        <f t="shared" si="18"/>
        <v>3.6959999999999997</v>
      </c>
      <c r="AB43" s="361">
        <f t="shared" si="18"/>
        <v>3.6959999999999997</v>
      </c>
      <c r="AC43" s="361">
        <f t="shared" si="18"/>
        <v>2.5872000000000002</v>
      </c>
      <c r="AD43" s="144"/>
      <c r="AE43" s="30"/>
      <c r="AF43" s="30"/>
      <c r="AG43" s="30"/>
    </row>
    <row r="44" spans="1:33" x14ac:dyDescent="0.2">
      <c r="A44" s="352" t="s">
        <v>173</v>
      </c>
      <c r="B44" s="361">
        <f>IF(B13="Deploy",B$36,B$36*$B123)</f>
        <v>2.5872000000000002</v>
      </c>
      <c r="C44" s="361">
        <f t="shared" ref="C44:AC44" si="19">IF(C13="Deploy",C$36,C$36*$B123)</f>
        <v>2.5872000000000002</v>
      </c>
      <c r="D44" s="361">
        <f t="shared" si="19"/>
        <v>2.5872000000000002</v>
      </c>
      <c r="E44" s="361">
        <f t="shared" si="19"/>
        <v>2.5872000000000002</v>
      </c>
      <c r="F44" s="361">
        <f t="shared" si="19"/>
        <v>2.5872000000000002</v>
      </c>
      <c r="G44" s="361">
        <f t="shared" si="19"/>
        <v>2.5872000000000002</v>
      </c>
      <c r="H44" s="361">
        <f t="shared" si="19"/>
        <v>2.9568000000000003</v>
      </c>
      <c r="I44" s="361">
        <f t="shared" si="19"/>
        <v>2.9568000000000003</v>
      </c>
      <c r="J44" s="361">
        <f t="shared" si="19"/>
        <v>2.9568000000000003</v>
      </c>
      <c r="K44" s="361">
        <f t="shared" si="19"/>
        <v>3.3264</v>
      </c>
      <c r="L44" s="361">
        <f t="shared" si="19"/>
        <v>3.3264</v>
      </c>
      <c r="M44" s="361">
        <f t="shared" si="19"/>
        <v>3.3264</v>
      </c>
      <c r="N44" s="361">
        <f t="shared" si="19"/>
        <v>3.6959999999999997</v>
      </c>
      <c r="O44" s="361">
        <f t="shared" si="19"/>
        <v>3.6959999999999997</v>
      </c>
      <c r="P44" s="361">
        <f t="shared" si="19"/>
        <v>3.6959999999999997</v>
      </c>
      <c r="Q44" s="361">
        <f t="shared" si="19"/>
        <v>3.6959999999999997</v>
      </c>
      <c r="R44" s="361">
        <f t="shared" si="19"/>
        <v>11.2</v>
      </c>
      <c r="S44" s="361">
        <f t="shared" si="19"/>
        <v>11.2</v>
      </c>
      <c r="T44" s="361">
        <f t="shared" si="19"/>
        <v>11.2</v>
      </c>
      <c r="U44" s="361">
        <f t="shared" si="19"/>
        <v>11.2</v>
      </c>
      <c r="V44" s="361">
        <f t="shared" si="19"/>
        <v>11.2</v>
      </c>
      <c r="W44" s="361">
        <f t="shared" si="19"/>
        <v>11.2</v>
      </c>
      <c r="X44" s="361">
        <f t="shared" si="19"/>
        <v>3.6959999999999997</v>
      </c>
      <c r="Y44" s="361">
        <f t="shared" si="19"/>
        <v>3.6959999999999997</v>
      </c>
      <c r="Z44" s="361">
        <f t="shared" si="19"/>
        <v>3.6959999999999997</v>
      </c>
      <c r="AA44" s="361">
        <f t="shared" si="19"/>
        <v>3.6959999999999997</v>
      </c>
      <c r="AB44" s="361">
        <f t="shared" si="19"/>
        <v>3.6959999999999997</v>
      </c>
      <c r="AC44" s="361">
        <f t="shared" si="19"/>
        <v>2.5872000000000002</v>
      </c>
    </row>
    <row r="45" spans="1:33" x14ac:dyDescent="0.2">
      <c r="A45" s="385" t="s">
        <v>174</v>
      </c>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row>
    <row r="46" spans="1:33" x14ac:dyDescent="0.2">
      <c r="A46" s="385" t="s">
        <v>175</v>
      </c>
      <c r="B46" s="361">
        <f t="shared" ref="B46:AC46" si="20">B$36*$B125</f>
        <v>7.84</v>
      </c>
      <c r="C46" s="361">
        <f t="shared" si="20"/>
        <v>7.84</v>
      </c>
      <c r="D46" s="361">
        <f t="shared" si="20"/>
        <v>7.84</v>
      </c>
      <c r="E46" s="361">
        <f t="shared" si="20"/>
        <v>7.84</v>
      </c>
      <c r="F46" s="361">
        <f t="shared" si="20"/>
        <v>7.84</v>
      </c>
      <c r="G46" s="361">
        <f t="shared" si="20"/>
        <v>7.84</v>
      </c>
      <c r="H46" s="361">
        <f t="shared" si="20"/>
        <v>8.9600000000000009</v>
      </c>
      <c r="I46" s="361">
        <f t="shared" si="20"/>
        <v>8.9600000000000009</v>
      </c>
      <c r="J46" s="361">
        <f t="shared" si="20"/>
        <v>8.9600000000000009</v>
      </c>
      <c r="K46" s="361">
        <f t="shared" si="20"/>
        <v>10.08</v>
      </c>
      <c r="L46" s="361">
        <f t="shared" si="20"/>
        <v>10.08</v>
      </c>
      <c r="M46" s="361">
        <f t="shared" si="20"/>
        <v>10.08</v>
      </c>
      <c r="N46" s="361">
        <f t="shared" si="20"/>
        <v>11.2</v>
      </c>
      <c r="O46" s="361">
        <f t="shared" si="20"/>
        <v>11.2</v>
      </c>
      <c r="P46" s="361">
        <f t="shared" si="20"/>
        <v>11.2</v>
      </c>
      <c r="Q46" s="361">
        <f t="shared" si="20"/>
        <v>11.2</v>
      </c>
      <c r="R46" s="361">
        <f t="shared" si="20"/>
        <v>11.2</v>
      </c>
      <c r="S46" s="361">
        <f t="shared" si="20"/>
        <v>11.2</v>
      </c>
      <c r="T46" s="361">
        <f t="shared" si="20"/>
        <v>11.2</v>
      </c>
      <c r="U46" s="361">
        <f t="shared" si="20"/>
        <v>11.2</v>
      </c>
      <c r="V46" s="361">
        <f t="shared" si="20"/>
        <v>11.2</v>
      </c>
      <c r="W46" s="361">
        <f t="shared" si="20"/>
        <v>11.2</v>
      </c>
      <c r="X46" s="361">
        <f t="shared" si="20"/>
        <v>11.2</v>
      </c>
      <c r="Y46" s="361">
        <f t="shared" si="20"/>
        <v>11.2</v>
      </c>
      <c r="Z46" s="361">
        <f t="shared" si="20"/>
        <v>11.2</v>
      </c>
      <c r="AA46" s="361">
        <f t="shared" si="20"/>
        <v>11.2</v>
      </c>
      <c r="AB46" s="361">
        <f t="shared" si="20"/>
        <v>11.2</v>
      </c>
      <c r="AC46" s="361">
        <f t="shared" si="20"/>
        <v>7.84</v>
      </c>
    </row>
    <row r="47" spans="1:33" s="181" customFormat="1" ht="12.75" x14ac:dyDescent="0.2">
      <c r="A47" s="182" t="s">
        <v>120</v>
      </c>
      <c r="B47" s="183"/>
      <c r="C47" s="184"/>
      <c r="D47" s="184"/>
      <c r="E47" s="184"/>
      <c r="F47" s="184"/>
      <c r="G47" s="184"/>
      <c r="H47" s="184"/>
      <c r="I47" s="184"/>
      <c r="J47" s="185"/>
      <c r="K47" s="185"/>
      <c r="L47" s="184"/>
      <c r="M47" s="184"/>
      <c r="N47" s="186"/>
      <c r="O47" s="186"/>
      <c r="P47" s="187"/>
      <c r="Q47" s="184"/>
      <c r="R47" s="186"/>
      <c r="S47" s="186"/>
      <c r="T47" s="186"/>
      <c r="U47" s="186"/>
      <c r="V47" s="186"/>
      <c r="W47" s="186"/>
      <c r="X47" s="186"/>
      <c r="Y47" s="186"/>
      <c r="Z47" s="186"/>
      <c r="AA47" s="186"/>
      <c r="AB47" s="186"/>
      <c r="AC47" s="279"/>
    </row>
    <row r="48" spans="1:33" x14ac:dyDescent="0.2">
      <c r="A48" s="29" t="s">
        <v>121</v>
      </c>
      <c r="B48" s="116">
        <v>7</v>
      </c>
      <c r="C48" s="116">
        <v>7</v>
      </c>
      <c r="D48" s="116">
        <v>7</v>
      </c>
      <c r="E48" s="116">
        <v>7</v>
      </c>
      <c r="F48" s="116">
        <v>7</v>
      </c>
      <c r="G48" s="116">
        <v>7</v>
      </c>
      <c r="H48" s="116">
        <v>7</v>
      </c>
      <c r="I48" s="116">
        <v>7</v>
      </c>
      <c r="J48" s="116">
        <v>7</v>
      </c>
      <c r="K48" s="116">
        <v>7</v>
      </c>
      <c r="L48" s="116">
        <v>7</v>
      </c>
      <c r="M48" s="116">
        <v>7</v>
      </c>
      <c r="N48" s="116">
        <v>7</v>
      </c>
      <c r="O48" s="116">
        <v>7</v>
      </c>
      <c r="P48" s="116">
        <v>7</v>
      </c>
      <c r="Q48" s="116">
        <v>7</v>
      </c>
      <c r="R48" s="116">
        <v>7</v>
      </c>
      <c r="S48" s="116">
        <v>7</v>
      </c>
      <c r="T48" s="116">
        <v>7</v>
      </c>
      <c r="U48" s="116">
        <v>7</v>
      </c>
      <c r="V48" s="116">
        <v>7</v>
      </c>
      <c r="W48" s="116">
        <v>7</v>
      </c>
      <c r="X48" s="116">
        <v>7</v>
      </c>
      <c r="Y48" s="116">
        <v>7</v>
      </c>
      <c r="Z48" s="116">
        <v>7</v>
      </c>
      <c r="AA48" s="116">
        <v>7</v>
      </c>
      <c r="AB48" s="136">
        <v>7</v>
      </c>
      <c r="AC48" s="280">
        <v>7</v>
      </c>
      <c r="AD48" s="146"/>
      <c r="AE48" s="30"/>
      <c r="AF48" s="30"/>
      <c r="AG48" s="30"/>
    </row>
    <row r="49" spans="1:47" s="10" customFormat="1" x14ac:dyDescent="0.2">
      <c r="A49" s="29" t="s">
        <v>122</v>
      </c>
      <c r="B49" s="32">
        <v>3</v>
      </c>
      <c r="C49" s="32">
        <v>3</v>
      </c>
      <c r="D49" s="32">
        <v>3</v>
      </c>
      <c r="E49" s="32">
        <v>3</v>
      </c>
      <c r="F49" s="32">
        <v>3</v>
      </c>
      <c r="G49" s="32">
        <v>3</v>
      </c>
      <c r="H49" s="32">
        <v>4</v>
      </c>
      <c r="I49" s="32">
        <v>4.5</v>
      </c>
      <c r="J49" s="32">
        <v>4.5</v>
      </c>
      <c r="K49" s="32">
        <v>5</v>
      </c>
      <c r="L49" s="32">
        <v>5</v>
      </c>
      <c r="M49" s="32">
        <v>5</v>
      </c>
      <c r="N49" s="32">
        <v>5</v>
      </c>
      <c r="O49" s="32">
        <v>5</v>
      </c>
      <c r="P49" s="32">
        <v>5</v>
      </c>
      <c r="Q49" s="32">
        <v>5</v>
      </c>
      <c r="R49" s="32">
        <v>6</v>
      </c>
      <c r="S49" s="32">
        <v>6</v>
      </c>
      <c r="T49" s="32">
        <v>6</v>
      </c>
      <c r="U49" s="32">
        <v>6</v>
      </c>
      <c r="V49" s="32">
        <v>6</v>
      </c>
      <c r="W49" s="32">
        <v>6</v>
      </c>
      <c r="X49" s="32">
        <v>5</v>
      </c>
      <c r="Y49" s="32">
        <v>4.5</v>
      </c>
      <c r="Z49" s="32">
        <v>4.5</v>
      </c>
      <c r="AA49" s="32">
        <v>4.5</v>
      </c>
      <c r="AB49" s="31">
        <v>4.5</v>
      </c>
      <c r="AC49" s="32">
        <v>3</v>
      </c>
      <c r="AD49" s="139"/>
      <c r="AE49" s="11"/>
      <c r="AF49" s="11"/>
      <c r="AG49" s="11"/>
    </row>
    <row r="50" spans="1:47" ht="12.75" x14ac:dyDescent="0.2">
      <c r="A50" s="27" t="s">
        <v>123</v>
      </c>
      <c r="B50" s="26"/>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77"/>
      <c r="AD50" s="134"/>
    </row>
    <row r="51" spans="1:47" x14ac:dyDescent="0.2">
      <c r="A51" s="24" t="s">
        <v>124</v>
      </c>
      <c r="B51" s="23">
        <f t="shared" ref="B51:AC51" si="21">$B$82</f>
        <v>20</v>
      </c>
      <c r="C51" s="23">
        <f t="shared" si="21"/>
        <v>20</v>
      </c>
      <c r="D51" s="23">
        <f t="shared" si="21"/>
        <v>20</v>
      </c>
      <c r="E51" s="23">
        <f t="shared" si="21"/>
        <v>20</v>
      </c>
      <c r="F51" s="23">
        <f t="shared" si="21"/>
        <v>20</v>
      </c>
      <c r="G51" s="23">
        <f t="shared" si="21"/>
        <v>20</v>
      </c>
      <c r="H51" s="23">
        <f t="shared" si="21"/>
        <v>20</v>
      </c>
      <c r="I51" s="23">
        <f t="shared" si="21"/>
        <v>20</v>
      </c>
      <c r="J51" s="23">
        <f t="shared" si="21"/>
        <v>20</v>
      </c>
      <c r="K51" s="23">
        <f t="shared" si="21"/>
        <v>20</v>
      </c>
      <c r="L51" s="23">
        <f t="shared" si="21"/>
        <v>20</v>
      </c>
      <c r="M51" s="23">
        <f t="shared" si="21"/>
        <v>20</v>
      </c>
      <c r="N51" s="23">
        <f t="shared" si="21"/>
        <v>20</v>
      </c>
      <c r="O51" s="23">
        <f t="shared" si="21"/>
        <v>20</v>
      </c>
      <c r="P51" s="23">
        <f t="shared" si="21"/>
        <v>20</v>
      </c>
      <c r="Q51" s="23">
        <f t="shared" si="21"/>
        <v>20</v>
      </c>
      <c r="R51" s="23">
        <f t="shared" si="21"/>
        <v>20</v>
      </c>
      <c r="S51" s="23">
        <f t="shared" si="21"/>
        <v>20</v>
      </c>
      <c r="T51" s="23">
        <f t="shared" si="21"/>
        <v>20</v>
      </c>
      <c r="U51" s="23">
        <f t="shared" si="21"/>
        <v>20</v>
      </c>
      <c r="V51" s="23">
        <f t="shared" si="21"/>
        <v>20</v>
      </c>
      <c r="W51" s="23">
        <f t="shared" si="21"/>
        <v>20</v>
      </c>
      <c r="X51" s="23">
        <f t="shared" si="21"/>
        <v>20</v>
      </c>
      <c r="Y51" s="23">
        <f t="shared" si="21"/>
        <v>20</v>
      </c>
      <c r="Z51" s="23">
        <f t="shared" si="21"/>
        <v>20</v>
      </c>
      <c r="AA51" s="23">
        <f t="shared" si="21"/>
        <v>20</v>
      </c>
      <c r="AB51" s="22">
        <f t="shared" si="21"/>
        <v>20</v>
      </c>
      <c r="AC51" s="281">
        <f t="shared" si="21"/>
        <v>20</v>
      </c>
      <c r="AD51" s="147"/>
    </row>
    <row r="52" spans="1:47" s="10" customFormat="1" x14ac:dyDescent="0.2">
      <c r="A52" s="33" t="s">
        <v>125</v>
      </c>
      <c r="B52" s="156">
        <f t="shared" ref="B52:AC52" si="22">IF(B76&lt;80,12,IF(AND(B76&gt;=80,B76&lt;90),14,$B$83))</f>
        <v>12</v>
      </c>
      <c r="C52" s="156">
        <f t="shared" si="22"/>
        <v>12</v>
      </c>
      <c r="D52" s="156">
        <f t="shared" si="22"/>
        <v>12</v>
      </c>
      <c r="E52" s="156">
        <f t="shared" si="22"/>
        <v>12</v>
      </c>
      <c r="F52" s="156">
        <f t="shared" si="22"/>
        <v>12</v>
      </c>
      <c r="G52" s="156">
        <f t="shared" si="22"/>
        <v>12</v>
      </c>
      <c r="H52" s="156">
        <f t="shared" si="22"/>
        <v>12</v>
      </c>
      <c r="I52" s="156">
        <f t="shared" si="22"/>
        <v>12</v>
      </c>
      <c r="J52" s="156">
        <f t="shared" si="22"/>
        <v>12</v>
      </c>
      <c r="K52" s="156">
        <f t="shared" si="22"/>
        <v>12</v>
      </c>
      <c r="L52" s="156">
        <f t="shared" si="22"/>
        <v>12</v>
      </c>
      <c r="M52" s="156">
        <f t="shared" si="22"/>
        <v>14</v>
      </c>
      <c r="N52" s="156">
        <f t="shared" si="22"/>
        <v>14</v>
      </c>
      <c r="O52" s="156">
        <f t="shared" si="22"/>
        <v>14</v>
      </c>
      <c r="P52" s="156">
        <f t="shared" si="22"/>
        <v>14</v>
      </c>
      <c r="Q52" s="156">
        <f t="shared" si="22"/>
        <v>14</v>
      </c>
      <c r="R52" s="156">
        <f t="shared" si="22"/>
        <v>17</v>
      </c>
      <c r="S52" s="156">
        <f t="shared" si="22"/>
        <v>17</v>
      </c>
      <c r="T52" s="156">
        <f t="shared" si="22"/>
        <v>17</v>
      </c>
      <c r="U52" s="156">
        <f t="shared" si="22"/>
        <v>17</v>
      </c>
      <c r="V52" s="156">
        <f t="shared" si="22"/>
        <v>17</v>
      </c>
      <c r="W52" s="156">
        <f t="shared" si="22"/>
        <v>17</v>
      </c>
      <c r="X52" s="156">
        <f t="shared" si="22"/>
        <v>17</v>
      </c>
      <c r="Y52" s="156">
        <f t="shared" si="22"/>
        <v>17</v>
      </c>
      <c r="Z52" s="156">
        <f t="shared" si="22"/>
        <v>14</v>
      </c>
      <c r="AA52" s="156">
        <f t="shared" si="22"/>
        <v>14</v>
      </c>
      <c r="AB52" s="157">
        <f t="shared" si="22"/>
        <v>14</v>
      </c>
      <c r="AC52" s="156">
        <f t="shared" si="22"/>
        <v>12</v>
      </c>
      <c r="AD52" s="152"/>
    </row>
    <row r="53" spans="1:47" s="10" customFormat="1" x14ac:dyDescent="0.2">
      <c r="A53" s="33" t="s">
        <v>126</v>
      </c>
      <c r="B53" s="156">
        <f t="shared" ref="B53:AC53" si="23">ROUNDUP(IF(B$13="Deploy",MAX((B$76/100)*$B84,$B84),(B$76/100)*$B84),0)</f>
        <v>2</v>
      </c>
      <c r="C53" s="156">
        <f t="shared" si="23"/>
        <v>2</v>
      </c>
      <c r="D53" s="156">
        <f t="shared" si="23"/>
        <v>2</v>
      </c>
      <c r="E53" s="156">
        <f t="shared" si="23"/>
        <v>2</v>
      </c>
      <c r="F53" s="156">
        <f t="shared" si="23"/>
        <v>2</v>
      </c>
      <c r="G53" s="156">
        <f t="shared" si="23"/>
        <v>2</v>
      </c>
      <c r="H53" s="156">
        <f t="shared" si="23"/>
        <v>2</v>
      </c>
      <c r="I53" s="156">
        <f t="shared" si="23"/>
        <v>3</v>
      </c>
      <c r="J53" s="156">
        <f t="shared" si="23"/>
        <v>3</v>
      </c>
      <c r="K53" s="156">
        <f t="shared" si="23"/>
        <v>3</v>
      </c>
      <c r="L53" s="156">
        <f t="shared" si="23"/>
        <v>3</v>
      </c>
      <c r="M53" s="156">
        <f t="shared" si="23"/>
        <v>4</v>
      </c>
      <c r="N53" s="156">
        <f t="shared" si="23"/>
        <v>4</v>
      </c>
      <c r="O53" s="156">
        <f t="shared" si="23"/>
        <v>4</v>
      </c>
      <c r="P53" s="156">
        <f t="shared" si="23"/>
        <v>4</v>
      </c>
      <c r="Q53" s="156">
        <f t="shared" si="23"/>
        <v>4</v>
      </c>
      <c r="R53" s="156">
        <f t="shared" si="23"/>
        <v>4</v>
      </c>
      <c r="S53" s="156">
        <f t="shared" si="23"/>
        <v>4</v>
      </c>
      <c r="T53" s="156">
        <f t="shared" si="23"/>
        <v>4</v>
      </c>
      <c r="U53" s="156">
        <f t="shared" si="23"/>
        <v>4</v>
      </c>
      <c r="V53" s="156">
        <f t="shared" si="23"/>
        <v>4</v>
      </c>
      <c r="W53" s="156">
        <f t="shared" si="23"/>
        <v>4</v>
      </c>
      <c r="X53" s="156">
        <f t="shared" si="23"/>
        <v>4</v>
      </c>
      <c r="Y53" s="156">
        <f t="shared" si="23"/>
        <v>4</v>
      </c>
      <c r="Z53" s="156">
        <f t="shared" si="23"/>
        <v>4</v>
      </c>
      <c r="AA53" s="156">
        <f t="shared" si="23"/>
        <v>4</v>
      </c>
      <c r="AB53" s="157">
        <f t="shared" si="23"/>
        <v>4</v>
      </c>
      <c r="AC53" s="156">
        <f t="shared" si="23"/>
        <v>2</v>
      </c>
      <c r="AD53" s="152"/>
    </row>
    <row r="54" spans="1:47" s="10" customFormat="1" x14ac:dyDescent="0.2">
      <c r="A54" s="33" t="s">
        <v>127</v>
      </c>
      <c r="B54" s="156">
        <f t="shared" ref="B54:AC54" si="24">ROUNDUP(IF(B$13="Deploy",MAX((B$76/100)*$B85,$B85),(B$76/100)*$B85),0)</f>
        <v>2</v>
      </c>
      <c r="C54" s="156">
        <f t="shared" si="24"/>
        <v>2</v>
      </c>
      <c r="D54" s="156">
        <f t="shared" si="24"/>
        <v>2</v>
      </c>
      <c r="E54" s="156">
        <f t="shared" si="24"/>
        <v>2</v>
      </c>
      <c r="F54" s="156">
        <f t="shared" si="24"/>
        <v>2</v>
      </c>
      <c r="G54" s="156">
        <f t="shared" si="24"/>
        <v>2</v>
      </c>
      <c r="H54" s="156">
        <f t="shared" si="24"/>
        <v>3</v>
      </c>
      <c r="I54" s="156">
        <f t="shared" si="24"/>
        <v>3</v>
      </c>
      <c r="J54" s="156">
        <f t="shared" si="24"/>
        <v>4</v>
      </c>
      <c r="K54" s="156">
        <f t="shared" si="24"/>
        <v>4</v>
      </c>
      <c r="L54" s="156">
        <f t="shared" si="24"/>
        <v>4</v>
      </c>
      <c r="M54" s="156">
        <f t="shared" si="24"/>
        <v>5</v>
      </c>
      <c r="N54" s="156">
        <f t="shared" si="24"/>
        <v>5</v>
      </c>
      <c r="O54" s="156">
        <f t="shared" si="24"/>
        <v>5</v>
      </c>
      <c r="P54" s="156">
        <f t="shared" si="24"/>
        <v>5</v>
      </c>
      <c r="Q54" s="156">
        <f t="shared" si="24"/>
        <v>5</v>
      </c>
      <c r="R54" s="156">
        <f t="shared" si="24"/>
        <v>5</v>
      </c>
      <c r="S54" s="156">
        <f t="shared" si="24"/>
        <v>5</v>
      </c>
      <c r="T54" s="156">
        <f t="shared" si="24"/>
        <v>5</v>
      </c>
      <c r="U54" s="156">
        <f t="shared" si="24"/>
        <v>5</v>
      </c>
      <c r="V54" s="156">
        <f t="shared" si="24"/>
        <v>5</v>
      </c>
      <c r="W54" s="156">
        <f t="shared" si="24"/>
        <v>5</v>
      </c>
      <c r="X54" s="156">
        <f t="shared" si="24"/>
        <v>5</v>
      </c>
      <c r="Y54" s="156">
        <f t="shared" si="24"/>
        <v>5</v>
      </c>
      <c r="Z54" s="156">
        <f t="shared" si="24"/>
        <v>5</v>
      </c>
      <c r="AA54" s="156">
        <f t="shared" si="24"/>
        <v>5</v>
      </c>
      <c r="AB54" s="157">
        <f t="shared" si="24"/>
        <v>5</v>
      </c>
      <c r="AC54" s="156">
        <f t="shared" si="24"/>
        <v>2</v>
      </c>
      <c r="AD54" s="152"/>
    </row>
    <row r="55" spans="1:47" s="10" customFormat="1" x14ac:dyDescent="0.2">
      <c r="A55" s="33" t="s">
        <v>128</v>
      </c>
      <c r="B55" s="156">
        <f t="shared" ref="B55:AC55" si="25">ROUNDUP(IF(B$13="Deploy",MAX((B$76/100)*$B86,$B86),(B$76/100)*$B86),0)</f>
        <v>3</v>
      </c>
      <c r="C55" s="156">
        <f t="shared" si="25"/>
        <v>3</v>
      </c>
      <c r="D55" s="156">
        <f t="shared" si="25"/>
        <v>3</v>
      </c>
      <c r="E55" s="156">
        <f t="shared" si="25"/>
        <v>3</v>
      </c>
      <c r="F55" s="156">
        <f t="shared" si="25"/>
        <v>3</v>
      </c>
      <c r="G55" s="156">
        <f t="shared" si="25"/>
        <v>3</v>
      </c>
      <c r="H55" s="156">
        <f t="shared" si="25"/>
        <v>4</v>
      </c>
      <c r="I55" s="156">
        <f t="shared" si="25"/>
        <v>4</v>
      </c>
      <c r="J55" s="156">
        <f t="shared" si="25"/>
        <v>5</v>
      </c>
      <c r="K55" s="156">
        <f t="shared" si="25"/>
        <v>5</v>
      </c>
      <c r="L55" s="156">
        <f t="shared" si="25"/>
        <v>6</v>
      </c>
      <c r="M55" s="156">
        <f t="shared" si="25"/>
        <v>6</v>
      </c>
      <c r="N55" s="156">
        <f t="shared" si="25"/>
        <v>6</v>
      </c>
      <c r="O55" s="156">
        <f t="shared" si="25"/>
        <v>6</v>
      </c>
      <c r="P55" s="156">
        <f t="shared" si="25"/>
        <v>6</v>
      </c>
      <c r="Q55" s="156">
        <f t="shared" si="25"/>
        <v>6</v>
      </c>
      <c r="R55" s="156">
        <f t="shared" si="25"/>
        <v>7</v>
      </c>
      <c r="S55" s="156">
        <f t="shared" si="25"/>
        <v>7</v>
      </c>
      <c r="T55" s="156">
        <f t="shared" si="25"/>
        <v>7</v>
      </c>
      <c r="U55" s="156">
        <f t="shared" si="25"/>
        <v>7</v>
      </c>
      <c r="V55" s="156">
        <f t="shared" si="25"/>
        <v>7</v>
      </c>
      <c r="W55" s="156">
        <f t="shared" si="25"/>
        <v>7</v>
      </c>
      <c r="X55" s="156">
        <f t="shared" si="25"/>
        <v>7</v>
      </c>
      <c r="Y55" s="156">
        <f t="shared" si="25"/>
        <v>7</v>
      </c>
      <c r="Z55" s="156">
        <f t="shared" si="25"/>
        <v>6</v>
      </c>
      <c r="AA55" s="156">
        <f t="shared" si="25"/>
        <v>6</v>
      </c>
      <c r="AB55" s="157">
        <f t="shared" si="25"/>
        <v>6</v>
      </c>
      <c r="AC55" s="156">
        <f t="shared" si="25"/>
        <v>3</v>
      </c>
      <c r="AD55" s="152"/>
    </row>
    <row r="56" spans="1:47" s="10" customFormat="1" x14ac:dyDescent="0.2">
      <c r="A56" s="33" t="s">
        <v>129</v>
      </c>
      <c r="B56" s="156">
        <f t="shared" ref="B56:AC56" si="26">ROUNDUP(IF(B$13="Deploy",MAX((B$76/100)*$B87,$B87),(B$76/100)*$B87),0)</f>
        <v>4</v>
      </c>
      <c r="C56" s="156">
        <f t="shared" si="26"/>
        <v>4</v>
      </c>
      <c r="D56" s="156">
        <f t="shared" si="26"/>
        <v>4</v>
      </c>
      <c r="E56" s="156">
        <f t="shared" si="26"/>
        <v>4</v>
      </c>
      <c r="F56" s="156">
        <f t="shared" si="26"/>
        <v>4</v>
      </c>
      <c r="G56" s="156">
        <f t="shared" si="26"/>
        <v>4</v>
      </c>
      <c r="H56" s="156">
        <f t="shared" si="26"/>
        <v>5</v>
      </c>
      <c r="I56" s="156">
        <f t="shared" si="26"/>
        <v>6</v>
      </c>
      <c r="J56" s="156">
        <f t="shared" si="26"/>
        <v>7</v>
      </c>
      <c r="K56" s="156">
        <f t="shared" si="26"/>
        <v>7</v>
      </c>
      <c r="L56" s="156">
        <f t="shared" si="26"/>
        <v>8</v>
      </c>
      <c r="M56" s="156">
        <f t="shared" si="26"/>
        <v>9</v>
      </c>
      <c r="N56" s="156">
        <f t="shared" si="26"/>
        <v>9</v>
      </c>
      <c r="O56" s="156">
        <f t="shared" si="26"/>
        <v>9</v>
      </c>
      <c r="P56" s="156">
        <f t="shared" si="26"/>
        <v>9</v>
      </c>
      <c r="Q56" s="156">
        <f t="shared" si="26"/>
        <v>9</v>
      </c>
      <c r="R56" s="156">
        <f t="shared" si="26"/>
        <v>10</v>
      </c>
      <c r="S56" s="156">
        <f t="shared" si="26"/>
        <v>10</v>
      </c>
      <c r="T56" s="156">
        <f t="shared" si="26"/>
        <v>10</v>
      </c>
      <c r="U56" s="156">
        <f t="shared" si="26"/>
        <v>10</v>
      </c>
      <c r="V56" s="156">
        <f t="shared" si="26"/>
        <v>10</v>
      </c>
      <c r="W56" s="156">
        <f t="shared" si="26"/>
        <v>10</v>
      </c>
      <c r="X56" s="156">
        <f t="shared" si="26"/>
        <v>10</v>
      </c>
      <c r="Y56" s="156">
        <f t="shared" si="26"/>
        <v>10</v>
      </c>
      <c r="Z56" s="156">
        <f t="shared" si="26"/>
        <v>9</v>
      </c>
      <c r="AA56" s="156">
        <f t="shared" si="26"/>
        <v>9</v>
      </c>
      <c r="AB56" s="157">
        <f t="shared" si="26"/>
        <v>9</v>
      </c>
      <c r="AC56" s="156">
        <f t="shared" si="26"/>
        <v>4</v>
      </c>
      <c r="AD56" s="152"/>
    </row>
    <row r="57" spans="1:47" s="10" customFormat="1" x14ac:dyDescent="0.2">
      <c r="A57" s="33" t="s">
        <v>130</v>
      </c>
      <c r="B57" s="156">
        <f t="shared" ref="B57:AC57" si="27">ROUNDUP(IF(B$13="Deploy",MAX((B$76/100)*$B88,$B88),(B$76/100)*$B88),0)</f>
        <v>8</v>
      </c>
      <c r="C57" s="156">
        <f t="shared" si="27"/>
        <v>8</v>
      </c>
      <c r="D57" s="156">
        <f t="shared" si="27"/>
        <v>8</v>
      </c>
      <c r="E57" s="156">
        <f t="shared" si="27"/>
        <v>8</v>
      </c>
      <c r="F57" s="156">
        <f t="shared" si="27"/>
        <v>8</v>
      </c>
      <c r="G57" s="156">
        <f t="shared" si="27"/>
        <v>8</v>
      </c>
      <c r="H57" s="156">
        <f t="shared" si="27"/>
        <v>9</v>
      </c>
      <c r="I57" s="156">
        <f t="shared" si="27"/>
        <v>11</v>
      </c>
      <c r="J57" s="156">
        <f t="shared" si="27"/>
        <v>12</v>
      </c>
      <c r="K57" s="156">
        <f t="shared" si="27"/>
        <v>12</v>
      </c>
      <c r="L57" s="156">
        <f t="shared" si="27"/>
        <v>15</v>
      </c>
      <c r="M57" s="156">
        <f t="shared" si="27"/>
        <v>17</v>
      </c>
      <c r="N57" s="156">
        <f t="shared" si="27"/>
        <v>17</v>
      </c>
      <c r="O57" s="156">
        <f t="shared" si="27"/>
        <v>17</v>
      </c>
      <c r="P57" s="156">
        <f t="shared" si="27"/>
        <v>17</v>
      </c>
      <c r="Q57" s="156">
        <f t="shared" si="27"/>
        <v>17</v>
      </c>
      <c r="R57" s="156">
        <f t="shared" si="27"/>
        <v>19</v>
      </c>
      <c r="S57" s="156">
        <f t="shared" si="27"/>
        <v>19</v>
      </c>
      <c r="T57" s="156">
        <f t="shared" si="27"/>
        <v>19</v>
      </c>
      <c r="U57" s="156">
        <f t="shared" si="27"/>
        <v>19</v>
      </c>
      <c r="V57" s="156">
        <f t="shared" si="27"/>
        <v>19</v>
      </c>
      <c r="W57" s="156">
        <f t="shared" si="27"/>
        <v>19</v>
      </c>
      <c r="X57" s="156">
        <f t="shared" si="27"/>
        <v>18</v>
      </c>
      <c r="Y57" s="156">
        <f t="shared" si="27"/>
        <v>18</v>
      </c>
      <c r="Z57" s="156">
        <f t="shared" si="27"/>
        <v>17</v>
      </c>
      <c r="AA57" s="156">
        <f t="shared" si="27"/>
        <v>16</v>
      </c>
      <c r="AB57" s="157">
        <f t="shared" si="27"/>
        <v>16</v>
      </c>
      <c r="AC57" s="156">
        <f t="shared" si="27"/>
        <v>8</v>
      </c>
      <c r="AD57" s="152"/>
    </row>
    <row r="58" spans="1:47" s="10" customFormat="1" x14ac:dyDescent="0.2">
      <c r="A58" s="33" t="s">
        <v>131</v>
      </c>
      <c r="B58" s="198">
        <f>$B$89</f>
        <v>19</v>
      </c>
      <c r="C58" s="198">
        <f t="shared" ref="C58:AC58" si="28">$B89</f>
        <v>19</v>
      </c>
      <c r="D58" s="198">
        <f t="shared" si="28"/>
        <v>19</v>
      </c>
      <c r="E58" s="198">
        <f t="shared" si="28"/>
        <v>19</v>
      </c>
      <c r="F58" s="198">
        <f t="shared" si="28"/>
        <v>19</v>
      </c>
      <c r="G58" s="198">
        <f t="shared" si="28"/>
        <v>19</v>
      </c>
      <c r="H58" s="198">
        <f t="shared" si="28"/>
        <v>19</v>
      </c>
      <c r="I58" s="198">
        <f t="shared" si="28"/>
        <v>19</v>
      </c>
      <c r="J58" s="198">
        <f t="shared" si="28"/>
        <v>19</v>
      </c>
      <c r="K58" s="198">
        <f t="shared" si="28"/>
        <v>19</v>
      </c>
      <c r="L58" s="198">
        <f t="shared" si="28"/>
        <v>19</v>
      </c>
      <c r="M58" s="198">
        <f t="shared" si="28"/>
        <v>19</v>
      </c>
      <c r="N58" s="198">
        <f t="shared" si="28"/>
        <v>19</v>
      </c>
      <c r="O58" s="198">
        <f t="shared" si="28"/>
        <v>19</v>
      </c>
      <c r="P58" s="198">
        <f t="shared" si="28"/>
        <v>19</v>
      </c>
      <c r="Q58" s="198">
        <f t="shared" si="28"/>
        <v>19</v>
      </c>
      <c r="R58" s="198">
        <f t="shared" si="28"/>
        <v>19</v>
      </c>
      <c r="S58" s="198">
        <f t="shared" si="28"/>
        <v>19</v>
      </c>
      <c r="T58" s="198">
        <f t="shared" si="28"/>
        <v>19</v>
      </c>
      <c r="U58" s="198">
        <f t="shared" si="28"/>
        <v>19</v>
      </c>
      <c r="V58" s="198">
        <f t="shared" si="28"/>
        <v>19</v>
      </c>
      <c r="W58" s="198">
        <f t="shared" si="28"/>
        <v>19</v>
      </c>
      <c r="X58" s="198">
        <f t="shared" si="28"/>
        <v>19</v>
      </c>
      <c r="Y58" s="198">
        <f t="shared" si="28"/>
        <v>19</v>
      </c>
      <c r="Z58" s="198">
        <f t="shared" si="28"/>
        <v>19</v>
      </c>
      <c r="AA58" s="198">
        <f t="shared" si="28"/>
        <v>19</v>
      </c>
      <c r="AB58" s="198">
        <f t="shared" si="28"/>
        <v>19</v>
      </c>
      <c r="AC58" s="198">
        <f t="shared" si="28"/>
        <v>19</v>
      </c>
      <c r="AD58" s="152"/>
    </row>
    <row r="59" spans="1:47" s="10" customFormat="1" x14ac:dyDescent="0.2">
      <c r="A59" s="33" t="s">
        <v>132</v>
      </c>
      <c r="B59" s="156">
        <f t="shared" ref="B59:AB59" si="29">ROUNDUP(IF(B$13="Deploy",MAX((B$76/100)*$B90,$B90),(B$76/100)*$B90),0)</f>
        <v>2</v>
      </c>
      <c r="C59" s="156">
        <f t="shared" si="29"/>
        <v>2</v>
      </c>
      <c r="D59" s="156">
        <f t="shared" si="29"/>
        <v>2</v>
      </c>
      <c r="E59" s="156">
        <f t="shared" si="29"/>
        <v>2</v>
      </c>
      <c r="F59" s="156">
        <f t="shared" si="29"/>
        <v>2</v>
      </c>
      <c r="G59" s="156">
        <f t="shared" si="29"/>
        <v>2</v>
      </c>
      <c r="H59" s="156">
        <f t="shared" si="29"/>
        <v>2</v>
      </c>
      <c r="I59" s="156">
        <f t="shared" si="29"/>
        <v>3</v>
      </c>
      <c r="J59" s="156">
        <f t="shared" si="29"/>
        <v>3</v>
      </c>
      <c r="K59" s="156">
        <f t="shared" si="29"/>
        <v>3</v>
      </c>
      <c r="L59" s="156">
        <f t="shared" si="29"/>
        <v>3</v>
      </c>
      <c r="M59" s="156">
        <f t="shared" si="29"/>
        <v>4</v>
      </c>
      <c r="N59" s="156">
        <f t="shared" si="29"/>
        <v>4</v>
      </c>
      <c r="O59" s="156">
        <f t="shared" si="29"/>
        <v>4</v>
      </c>
      <c r="P59" s="156">
        <f t="shared" si="29"/>
        <v>4</v>
      </c>
      <c r="Q59" s="156">
        <f t="shared" si="29"/>
        <v>4</v>
      </c>
      <c r="R59" s="156">
        <f t="shared" si="29"/>
        <v>4</v>
      </c>
      <c r="S59" s="156">
        <f t="shared" si="29"/>
        <v>4</v>
      </c>
      <c r="T59" s="156">
        <f t="shared" si="29"/>
        <v>4</v>
      </c>
      <c r="U59" s="156">
        <f t="shared" si="29"/>
        <v>4</v>
      </c>
      <c r="V59" s="156">
        <f t="shared" si="29"/>
        <v>4</v>
      </c>
      <c r="W59" s="156">
        <f t="shared" si="29"/>
        <v>4</v>
      </c>
      <c r="X59" s="156">
        <f t="shared" si="29"/>
        <v>4</v>
      </c>
      <c r="Y59" s="156">
        <f t="shared" si="29"/>
        <v>4</v>
      </c>
      <c r="Z59" s="156">
        <f t="shared" si="29"/>
        <v>4</v>
      </c>
      <c r="AA59" s="156">
        <f t="shared" si="29"/>
        <v>4</v>
      </c>
      <c r="AB59" s="157">
        <f t="shared" si="29"/>
        <v>4</v>
      </c>
      <c r="AC59" s="156">
        <v>0</v>
      </c>
      <c r="AD59" s="152"/>
    </row>
    <row r="60" spans="1:47" s="10" customFormat="1" x14ac:dyDescent="0.2">
      <c r="A60" s="33" t="s">
        <v>133</v>
      </c>
      <c r="B60" s="156">
        <f t="shared" ref="B60:AB60" si="30">ROUNDUP(IF(B$13="Deploy",MAX((B$76/100)*$B91,$B91),(B$76/100)*$B91),0)</f>
        <v>2</v>
      </c>
      <c r="C60" s="156">
        <f t="shared" si="30"/>
        <v>2</v>
      </c>
      <c r="D60" s="156">
        <f t="shared" si="30"/>
        <v>2</v>
      </c>
      <c r="E60" s="156">
        <f t="shared" si="30"/>
        <v>2</v>
      </c>
      <c r="F60" s="156">
        <f t="shared" si="30"/>
        <v>2</v>
      </c>
      <c r="G60" s="156">
        <f t="shared" si="30"/>
        <v>2</v>
      </c>
      <c r="H60" s="156">
        <f t="shared" si="30"/>
        <v>2</v>
      </c>
      <c r="I60" s="156">
        <f t="shared" si="30"/>
        <v>3</v>
      </c>
      <c r="J60" s="156">
        <f t="shared" si="30"/>
        <v>3</v>
      </c>
      <c r="K60" s="156">
        <f t="shared" si="30"/>
        <v>3</v>
      </c>
      <c r="L60" s="156">
        <f t="shared" si="30"/>
        <v>3</v>
      </c>
      <c r="M60" s="156">
        <f t="shared" si="30"/>
        <v>4</v>
      </c>
      <c r="N60" s="156">
        <f t="shared" si="30"/>
        <v>4</v>
      </c>
      <c r="O60" s="156">
        <f t="shared" si="30"/>
        <v>4</v>
      </c>
      <c r="P60" s="156">
        <f t="shared" si="30"/>
        <v>4</v>
      </c>
      <c r="Q60" s="156">
        <f t="shared" si="30"/>
        <v>4</v>
      </c>
      <c r="R60" s="156">
        <f t="shared" si="30"/>
        <v>4</v>
      </c>
      <c r="S60" s="156">
        <f t="shared" si="30"/>
        <v>4</v>
      </c>
      <c r="T60" s="156">
        <f t="shared" si="30"/>
        <v>4</v>
      </c>
      <c r="U60" s="156">
        <f t="shared" si="30"/>
        <v>4</v>
      </c>
      <c r="V60" s="156">
        <f t="shared" si="30"/>
        <v>4</v>
      </c>
      <c r="W60" s="156">
        <f t="shared" si="30"/>
        <v>4</v>
      </c>
      <c r="X60" s="156">
        <f t="shared" si="30"/>
        <v>4</v>
      </c>
      <c r="Y60" s="156">
        <f t="shared" si="30"/>
        <v>4</v>
      </c>
      <c r="Z60" s="156">
        <f t="shared" si="30"/>
        <v>4</v>
      </c>
      <c r="AA60" s="156">
        <f t="shared" si="30"/>
        <v>4</v>
      </c>
      <c r="AB60" s="157">
        <f t="shared" si="30"/>
        <v>4</v>
      </c>
      <c r="AC60" s="156">
        <v>0</v>
      </c>
      <c r="AD60" s="152"/>
    </row>
    <row r="61" spans="1:47" s="14" customFormat="1" x14ac:dyDescent="0.2">
      <c r="A61" s="21" t="str">
        <f>A92</f>
        <v># Skilled Crews</v>
      </c>
      <c r="B61" s="20">
        <f t="shared" ref="B61:AB61" si="31">ROUNDUP(IF(B$13="Deploy",MAX((B$76/100)*$B92,$B92),(B$76/100)*$B92),0)</f>
        <v>6</v>
      </c>
      <c r="C61" s="20">
        <f t="shared" si="31"/>
        <v>6</v>
      </c>
      <c r="D61" s="20">
        <f t="shared" si="31"/>
        <v>6</v>
      </c>
      <c r="E61" s="20">
        <f t="shared" si="31"/>
        <v>6</v>
      </c>
      <c r="F61" s="20">
        <f t="shared" si="31"/>
        <v>6</v>
      </c>
      <c r="G61" s="20">
        <f t="shared" si="31"/>
        <v>6</v>
      </c>
      <c r="H61" s="20">
        <f t="shared" si="31"/>
        <v>7</v>
      </c>
      <c r="I61" s="20">
        <f t="shared" si="31"/>
        <v>9</v>
      </c>
      <c r="J61" s="20">
        <f t="shared" si="31"/>
        <v>10</v>
      </c>
      <c r="K61" s="20">
        <f t="shared" si="31"/>
        <v>10</v>
      </c>
      <c r="L61" s="20">
        <f t="shared" si="31"/>
        <v>12</v>
      </c>
      <c r="M61" s="20">
        <f t="shared" si="31"/>
        <v>13</v>
      </c>
      <c r="N61" s="20">
        <f t="shared" si="31"/>
        <v>13</v>
      </c>
      <c r="O61" s="20">
        <f t="shared" si="31"/>
        <v>13</v>
      </c>
      <c r="P61" s="20">
        <f t="shared" si="31"/>
        <v>13</v>
      </c>
      <c r="Q61" s="20">
        <f t="shared" si="31"/>
        <v>13</v>
      </c>
      <c r="R61" s="20">
        <f t="shared" si="31"/>
        <v>15</v>
      </c>
      <c r="S61" s="20">
        <f t="shared" si="31"/>
        <v>15</v>
      </c>
      <c r="T61" s="20">
        <f t="shared" si="31"/>
        <v>15</v>
      </c>
      <c r="U61" s="20">
        <f t="shared" si="31"/>
        <v>15</v>
      </c>
      <c r="V61" s="20">
        <f t="shared" si="31"/>
        <v>15</v>
      </c>
      <c r="W61" s="20">
        <f t="shared" si="31"/>
        <v>15</v>
      </c>
      <c r="X61" s="20">
        <f t="shared" si="31"/>
        <v>15</v>
      </c>
      <c r="Y61" s="20">
        <f t="shared" si="31"/>
        <v>14</v>
      </c>
      <c r="Z61" s="20">
        <f t="shared" si="31"/>
        <v>13</v>
      </c>
      <c r="AA61" s="20">
        <f t="shared" si="31"/>
        <v>13</v>
      </c>
      <c r="AB61" s="20">
        <f t="shared" si="31"/>
        <v>13</v>
      </c>
      <c r="AC61" s="20">
        <f>ROUNDUP(IF(AC$13="Deploy",MAX((AC$76/100)*$B92,$B92),(AC$76/100)*$B92),0)</f>
        <v>6</v>
      </c>
    </row>
    <row r="62" spans="1:47" s="254" customFormat="1" ht="12.75" x14ac:dyDescent="0.2">
      <c r="A62" s="182" t="s">
        <v>134</v>
      </c>
      <c r="B62" s="289"/>
      <c r="C62" s="290"/>
      <c r="D62" s="290"/>
      <c r="E62" s="290"/>
      <c r="F62" s="290"/>
      <c r="G62" s="291"/>
      <c r="H62" s="291"/>
      <c r="I62" s="291"/>
      <c r="J62" s="291"/>
      <c r="K62" s="291"/>
      <c r="L62" s="291"/>
      <c r="M62" s="291"/>
      <c r="N62" s="291"/>
      <c r="O62" s="291"/>
      <c r="P62" s="292"/>
      <c r="Q62" s="292"/>
      <c r="R62" s="293"/>
      <c r="S62" s="293"/>
      <c r="T62" s="293"/>
      <c r="U62" s="293"/>
      <c r="V62" s="293"/>
      <c r="W62" s="293"/>
      <c r="X62" s="293"/>
      <c r="Y62" s="293"/>
      <c r="Z62" s="293"/>
      <c r="AA62" s="293"/>
      <c r="AB62" s="293"/>
      <c r="AC62" s="294"/>
      <c r="AD62" s="266"/>
      <c r="AE62" s="266"/>
      <c r="AF62" s="266"/>
      <c r="AG62" s="266"/>
      <c r="AH62" s="266"/>
      <c r="AI62" s="266"/>
      <c r="AJ62" s="266"/>
      <c r="AK62" s="266"/>
      <c r="AL62" s="266"/>
      <c r="AM62" s="266"/>
      <c r="AN62" s="266"/>
      <c r="AO62" s="266"/>
      <c r="AP62" s="266"/>
      <c r="AQ62" s="266"/>
      <c r="AR62" s="266"/>
      <c r="AS62" s="266"/>
      <c r="AT62" s="266"/>
      <c r="AU62" s="266"/>
    </row>
    <row r="63" spans="1:47" s="270" customFormat="1" x14ac:dyDescent="0.2">
      <c r="A63" s="33" t="s">
        <v>135</v>
      </c>
      <c r="B63" s="295">
        <v>0.95</v>
      </c>
      <c r="C63" s="295">
        <v>0.95</v>
      </c>
      <c r="D63" s="295">
        <v>0.95</v>
      </c>
      <c r="E63" s="295">
        <v>0.95</v>
      </c>
      <c r="F63" s="295">
        <v>0.95</v>
      </c>
      <c r="G63" s="295">
        <v>0.95</v>
      </c>
      <c r="H63" s="295">
        <v>0.95</v>
      </c>
      <c r="I63" s="295">
        <v>0.95</v>
      </c>
      <c r="J63" s="295">
        <v>0.95</v>
      </c>
      <c r="K63" s="295">
        <v>0.95</v>
      </c>
      <c r="L63" s="295">
        <v>0.95</v>
      </c>
      <c r="M63" s="295">
        <v>0.95</v>
      </c>
      <c r="N63" s="295">
        <v>0.95</v>
      </c>
      <c r="O63" s="295">
        <v>0.95</v>
      </c>
      <c r="P63" s="295">
        <v>0.95</v>
      </c>
      <c r="Q63" s="295">
        <v>0.95</v>
      </c>
      <c r="R63" s="295">
        <v>0.95</v>
      </c>
      <c r="S63" s="295">
        <v>0.95</v>
      </c>
      <c r="T63" s="295">
        <v>0.95</v>
      </c>
      <c r="U63" s="295">
        <v>0.95</v>
      </c>
      <c r="V63" s="295">
        <v>0.95</v>
      </c>
      <c r="W63" s="295">
        <v>0.95</v>
      </c>
      <c r="X63" s="295">
        <v>0.95</v>
      </c>
      <c r="Y63" s="295">
        <v>0.95</v>
      </c>
      <c r="Z63" s="295">
        <v>0.95</v>
      </c>
      <c r="AA63" s="295">
        <v>0.95</v>
      </c>
      <c r="AB63" s="295">
        <v>0.95</v>
      </c>
      <c r="AC63" s="295">
        <v>0.95</v>
      </c>
    </row>
    <row r="64" spans="1:47" s="254" customFormat="1" x14ac:dyDescent="0.2">
      <c r="A64" s="33" t="s">
        <v>136</v>
      </c>
      <c r="B64" s="272">
        <v>0.92</v>
      </c>
      <c r="C64" s="272">
        <v>0.92</v>
      </c>
      <c r="D64" s="272">
        <v>0.92</v>
      </c>
      <c r="E64" s="272">
        <v>0.92</v>
      </c>
      <c r="F64" s="272">
        <v>0.92</v>
      </c>
      <c r="G64" s="272">
        <v>0.92</v>
      </c>
      <c r="H64" s="272">
        <v>0.92</v>
      </c>
      <c r="I64" s="272">
        <v>0.92</v>
      </c>
      <c r="J64" s="272">
        <v>0.92</v>
      </c>
      <c r="K64" s="272">
        <v>0.92</v>
      </c>
      <c r="L64" s="272">
        <v>0.92</v>
      </c>
      <c r="M64" s="272">
        <v>0.92</v>
      </c>
      <c r="N64" s="272">
        <v>0.92</v>
      </c>
      <c r="O64" s="272">
        <v>0.92</v>
      </c>
      <c r="P64" s="272">
        <v>0.92</v>
      </c>
      <c r="Q64" s="272">
        <v>0.92</v>
      </c>
      <c r="R64" s="272">
        <v>0.92</v>
      </c>
      <c r="S64" s="272">
        <v>0.92</v>
      </c>
      <c r="T64" s="272">
        <v>0.92</v>
      </c>
      <c r="U64" s="272">
        <v>0.92</v>
      </c>
      <c r="V64" s="272">
        <v>0.92</v>
      </c>
      <c r="W64" s="272">
        <v>0.92</v>
      </c>
      <c r="X64" s="272">
        <v>0.92</v>
      </c>
      <c r="Y64" s="272">
        <v>0.92</v>
      </c>
      <c r="Z64" s="272">
        <v>0.92</v>
      </c>
      <c r="AA64" s="272">
        <v>0.92</v>
      </c>
      <c r="AB64" s="272">
        <v>0.92</v>
      </c>
      <c r="AC64" s="272">
        <v>0.92</v>
      </c>
      <c r="AD64" s="266"/>
      <c r="AE64" s="266"/>
      <c r="AF64" s="266"/>
      <c r="AG64" s="266"/>
      <c r="AH64" s="266"/>
      <c r="AI64" s="266"/>
      <c r="AJ64" s="266"/>
      <c r="AK64" s="266"/>
      <c r="AL64" s="266"/>
      <c r="AM64" s="266"/>
      <c r="AN64" s="266"/>
      <c r="AO64" s="266"/>
      <c r="AP64" s="266"/>
      <c r="AQ64" s="266"/>
      <c r="AR64" s="266"/>
      <c r="AS64" s="266"/>
      <c r="AT64" s="266"/>
      <c r="AU64" s="266"/>
    </row>
    <row r="65" spans="1:47" s="254" customFormat="1" x14ac:dyDescent="0.2">
      <c r="A65" s="33" t="s">
        <v>137</v>
      </c>
      <c r="B65" s="272">
        <v>0.75</v>
      </c>
      <c r="C65" s="272">
        <v>0.75</v>
      </c>
      <c r="D65" s="272">
        <v>0.75</v>
      </c>
      <c r="E65" s="272">
        <v>0.75</v>
      </c>
      <c r="F65" s="272">
        <v>0.75</v>
      </c>
      <c r="G65" s="272">
        <v>0.75</v>
      </c>
      <c r="H65" s="272">
        <v>0.75</v>
      </c>
      <c r="I65" s="272">
        <v>0.75</v>
      </c>
      <c r="J65" s="272">
        <v>0.75</v>
      </c>
      <c r="K65" s="272">
        <v>0.75</v>
      </c>
      <c r="L65" s="272">
        <v>0.75</v>
      </c>
      <c r="M65" s="272">
        <v>0.75</v>
      </c>
      <c r="N65" s="272">
        <v>0.75</v>
      </c>
      <c r="O65" s="272">
        <v>0.75</v>
      </c>
      <c r="P65" s="272">
        <v>0.75</v>
      </c>
      <c r="Q65" s="272">
        <v>0.75</v>
      </c>
      <c r="R65" s="272">
        <v>0.75</v>
      </c>
      <c r="S65" s="272">
        <v>0.75</v>
      </c>
      <c r="T65" s="272">
        <v>0.75</v>
      </c>
      <c r="U65" s="272">
        <v>0.75</v>
      </c>
      <c r="V65" s="272">
        <v>0.75</v>
      </c>
      <c r="W65" s="272">
        <v>0.75</v>
      </c>
      <c r="X65" s="272">
        <v>0.75</v>
      </c>
      <c r="Y65" s="272">
        <v>0.75</v>
      </c>
      <c r="Z65" s="272">
        <v>0.75</v>
      </c>
      <c r="AA65" s="272">
        <v>0.75</v>
      </c>
      <c r="AB65" s="272">
        <v>0.75</v>
      </c>
      <c r="AC65" s="272">
        <v>0.75</v>
      </c>
      <c r="AD65" s="266"/>
      <c r="AE65" s="266"/>
      <c r="AF65" s="266"/>
      <c r="AG65" s="266"/>
      <c r="AH65" s="266"/>
      <c r="AI65" s="266"/>
      <c r="AJ65" s="266"/>
      <c r="AK65" s="266"/>
      <c r="AL65" s="266"/>
      <c r="AM65" s="266"/>
      <c r="AN65" s="266"/>
      <c r="AO65" s="266"/>
      <c r="AP65" s="266"/>
      <c r="AQ65" s="266"/>
      <c r="AR65" s="266"/>
      <c r="AS65" s="266"/>
      <c r="AT65" s="266"/>
      <c r="AU65" s="266"/>
    </row>
    <row r="66" spans="1:47" x14ac:dyDescent="0.2">
      <c r="AC66" s="13"/>
      <c r="AE66" s="14"/>
      <c r="AF66" s="14"/>
      <c r="AG66" s="14"/>
      <c r="AH66" s="14"/>
      <c r="AI66" s="14"/>
      <c r="AJ66" s="14"/>
      <c r="AK66" s="14"/>
      <c r="AL66" s="14"/>
      <c r="AM66" s="14"/>
      <c r="AN66" s="14"/>
      <c r="AO66" s="14"/>
      <c r="AP66" s="14"/>
      <c r="AQ66" s="14"/>
    </row>
    <row r="67" spans="1:47" x14ac:dyDescent="0.2">
      <c r="B67" s="10"/>
      <c r="C67" s="10"/>
    </row>
    <row r="68" spans="1:47" x14ac:dyDescent="0.2">
      <c r="B68" s="10"/>
      <c r="C68" s="10"/>
    </row>
    <row r="69" spans="1:47" s="81" customFormat="1" ht="15.75" customHeight="1" thickBot="1" x14ac:dyDescent="0.25">
      <c r="A69" s="19"/>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4"/>
      <c r="AD69" s="1"/>
    </row>
    <row r="70" spans="1:47" ht="13.5" thickBot="1" x14ac:dyDescent="0.25">
      <c r="A70" s="148" t="s">
        <v>138</v>
      </c>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50"/>
      <c r="AC70" s="150"/>
      <c r="AD70" s="151"/>
      <c r="AH70" s="81"/>
      <c r="AI70" s="81"/>
    </row>
    <row r="71" spans="1:47" x14ac:dyDescent="0.2">
      <c r="A71" s="79" t="s">
        <v>139</v>
      </c>
      <c r="B71" s="80">
        <f t="shared" ref="B71:AC71" si="32">MIN(100,B73+$B$77)</f>
        <v>45.901136923127005</v>
      </c>
      <c r="C71" s="80">
        <f t="shared" si="32"/>
        <v>45.901136923127005</v>
      </c>
      <c r="D71" s="80">
        <f t="shared" si="32"/>
        <v>45.901136923127005</v>
      </c>
      <c r="E71" s="80">
        <f t="shared" si="32"/>
        <v>45.901136923127005</v>
      </c>
      <c r="F71" s="80">
        <f t="shared" si="32"/>
        <v>45.901136923127005</v>
      </c>
      <c r="G71" s="80">
        <f t="shared" si="32"/>
        <v>53.901136923127005</v>
      </c>
      <c r="H71" s="80">
        <f t="shared" si="32"/>
        <v>55.901136923127005</v>
      </c>
      <c r="I71" s="80">
        <f t="shared" si="32"/>
        <v>55.901136923127005</v>
      </c>
      <c r="J71" s="80">
        <f t="shared" si="32"/>
        <v>65.901136923127012</v>
      </c>
      <c r="K71" s="80">
        <f t="shared" si="32"/>
        <v>90.901136923127012</v>
      </c>
      <c r="L71" s="80">
        <f t="shared" si="32"/>
        <v>100</v>
      </c>
      <c r="M71" s="80">
        <f t="shared" si="32"/>
        <v>100</v>
      </c>
      <c r="N71" s="80">
        <f t="shared" si="32"/>
        <v>100</v>
      </c>
      <c r="O71" s="80">
        <f t="shared" si="32"/>
        <v>100</v>
      </c>
      <c r="P71" s="80">
        <f t="shared" si="32"/>
        <v>100</v>
      </c>
      <c r="Q71" s="80">
        <f t="shared" si="32"/>
        <v>100</v>
      </c>
      <c r="R71" s="80">
        <f t="shared" si="32"/>
        <v>100</v>
      </c>
      <c r="S71" s="80">
        <f t="shared" si="32"/>
        <v>100</v>
      </c>
      <c r="T71" s="80">
        <f t="shared" si="32"/>
        <v>100</v>
      </c>
      <c r="U71" s="80">
        <f t="shared" si="32"/>
        <v>100</v>
      </c>
      <c r="V71" s="80">
        <f t="shared" si="32"/>
        <v>100</v>
      </c>
      <c r="W71" s="80">
        <f t="shared" si="32"/>
        <v>100</v>
      </c>
      <c r="X71" s="80">
        <f t="shared" si="32"/>
        <v>100</v>
      </c>
      <c r="Y71" s="80">
        <f t="shared" si="32"/>
        <v>100</v>
      </c>
      <c r="Z71" s="80">
        <f t="shared" si="32"/>
        <v>100</v>
      </c>
      <c r="AA71" s="80">
        <f t="shared" si="32"/>
        <v>100</v>
      </c>
      <c r="AB71" s="282">
        <f t="shared" si="32"/>
        <v>100</v>
      </c>
      <c r="AC71" s="286">
        <f t="shared" si="32"/>
        <v>45.901136923127005</v>
      </c>
      <c r="AD71" s="139"/>
      <c r="AE71" s="13"/>
      <c r="AF71" s="12"/>
      <c r="AG71" s="11"/>
      <c r="AH71" s="81"/>
      <c r="AI71" s="81"/>
    </row>
    <row r="72" spans="1:47" x14ac:dyDescent="0.2">
      <c r="A72" s="18" t="s">
        <v>140</v>
      </c>
      <c r="B72" s="17">
        <f t="shared" ref="B72:AC72" si="33">MIN(100,B73+$B$78)</f>
        <v>27.950568461563503</v>
      </c>
      <c r="C72" s="17">
        <f t="shared" si="33"/>
        <v>27.950568461563503</v>
      </c>
      <c r="D72" s="17">
        <f t="shared" si="33"/>
        <v>27.950568461563503</v>
      </c>
      <c r="E72" s="17">
        <f t="shared" si="33"/>
        <v>27.950568461563503</v>
      </c>
      <c r="F72" s="17">
        <f t="shared" si="33"/>
        <v>27.950568461563503</v>
      </c>
      <c r="G72" s="17">
        <f t="shared" si="33"/>
        <v>35.950568461563506</v>
      </c>
      <c r="H72" s="17">
        <f t="shared" si="33"/>
        <v>37.950568461563506</v>
      </c>
      <c r="I72" s="17">
        <f t="shared" si="33"/>
        <v>37.950568461563506</v>
      </c>
      <c r="J72" s="17">
        <f t="shared" si="33"/>
        <v>47.950568461563506</v>
      </c>
      <c r="K72" s="17">
        <f t="shared" si="33"/>
        <v>72.950568461563506</v>
      </c>
      <c r="L72" s="17">
        <f t="shared" si="33"/>
        <v>97.950568461563506</v>
      </c>
      <c r="M72" s="17">
        <f t="shared" si="33"/>
        <v>100</v>
      </c>
      <c r="N72" s="17">
        <f t="shared" si="33"/>
        <v>100</v>
      </c>
      <c r="O72" s="17">
        <f t="shared" si="33"/>
        <v>100</v>
      </c>
      <c r="P72" s="17">
        <f t="shared" si="33"/>
        <v>100</v>
      </c>
      <c r="Q72" s="17">
        <f t="shared" si="33"/>
        <v>100</v>
      </c>
      <c r="R72" s="17">
        <f t="shared" si="33"/>
        <v>100</v>
      </c>
      <c r="S72" s="17">
        <f t="shared" si="33"/>
        <v>100</v>
      </c>
      <c r="T72" s="17">
        <f t="shared" si="33"/>
        <v>100</v>
      </c>
      <c r="U72" s="17">
        <f t="shared" si="33"/>
        <v>100</v>
      </c>
      <c r="V72" s="17">
        <f t="shared" si="33"/>
        <v>100</v>
      </c>
      <c r="W72" s="17">
        <f t="shared" si="33"/>
        <v>100</v>
      </c>
      <c r="X72" s="17">
        <f t="shared" si="33"/>
        <v>100</v>
      </c>
      <c r="Y72" s="17">
        <f t="shared" si="33"/>
        <v>100</v>
      </c>
      <c r="Z72" s="17">
        <f t="shared" si="33"/>
        <v>100</v>
      </c>
      <c r="AA72" s="17">
        <f t="shared" si="33"/>
        <v>100</v>
      </c>
      <c r="AB72" s="283">
        <f t="shared" si="33"/>
        <v>98.950568461563506</v>
      </c>
      <c r="AC72" s="287">
        <f t="shared" si="33"/>
        <v>27.950568461563503</v>
      </c>
      <c r="AD72" s="139"/>
      <c r="AE72" s="13"/>
      <c r="AF72" s="12"/>
      <c r="AG72" s="11"/>
      <c r="AH72" s="81"/>
      <c r="AI72" s="81"/>
    </row>
    <row r="73" spans="1:47" x14ac:dyDescent="0.2">
      <c r="A73" s="18" t="s">
        <v>141</v>
      </c>
      <c r="B73" s="82">
        <v>10</v>
      </c>
      <c r="C73" s="82">
        <v>10</v>
      </c>
      <c r="D73" s="82">
        <v>10</v>
      </c>
      <c r="E73" s="82">
        <v>10</v>
      </c>
      <c r="F73" s="82">
        <v>10</v>
      </c>
      <c r="G73" s="82">
        <v>18</v>
      </c>
      <c r="H73" s="82">
        <v>20</v>
      </c>
      <c r="I73" s="82">
        <v>20</v>
      </c>
      <c r="J73" s="82">
        <v>30</v>
      </c>
      <c r="K73" s="82">
        <v>55</v>
      </c>
      <c r="L73" s="82">
        <v>80</v>
      </c>
      <c r="M73" s="82">
        <v>85</v>
      </c>
      <c r="N73" s="82">
        <v>85</v>
      </c>
      <c r="O73" s="82">
        <v>85</v>
      </c>
      <c r="P73" s="82">
        <v>85</v>
      </c>
      <c r="Q73" s="82">
        <v>85</v>
      </c>
      <c r="R73" s="82">
        <v>100</v>
      </c>
      <c r="S73" s="82">
        <v>100</v>
      </c>
      <c r="T73" s="82">
        <v>100</v>
      </c>
      <c r="U73" s="82">
        <v>100</v>
      </c>
      <c r="V73" s="82">
        <v>100</v>
      </c>
      <c r="W73" s="82">
        <v>100</v>
      </c>
      <c r="X73" s="82">
        <v>94</v>
      </c>
      <c r="Y73" s="82">
        <v>91</v>
      </c>
      <c r="Z73" s="82">
        <v>85</v>
      </c>
      <c r="AA73" s="82">
        <v>84</v>
      </c>
      <c r="AB73" s="284">
        <v>81</v>
      </c>
      <c r="AC73" s="177">
        <v>10</v>
      </c>
      <c r="AD73" s="119"/>
      <c r="AE73" s="13"/>
      <c r="AF73" s="12"/>
      <c r="AG73" s="11"/>
      <c r="AH73" s="81"/>
      <c r="AI73" s="81"/>
    </row>
    <row r="74" spans="1:47" x14ac:dyDescent="0.2">
      <c r="A74" s="18" t="s">
        <v>142</v>
      </c>
      <c r="B74" s="17">
        <f t="shared" ref="B74:AC74" si="34">MIN(80,IF(B13="Deploy",80,MAX(0,B73-$B$78)))</f>
        <v>0</v>
      </c>
      <c r="C74" s="17">
        <f t="shared" si="34"/>
        <v>0</v>
      </c>
      <c r="D74" s="17">
        <f t="shared" si="34"/>
        <v>0</v>
      </c>
      <c r="E74" s="17">
        <f t="shared" si="34"/>
        <v>0</v>
      </c>
      <c r="F74" s="17">
        <f t="shared" si="34"/>
        <v>0</v>
      </c>
      <c r="G74" s="17">
        <f t="shared" si="34"/>
        <v>4.9431538436497391E-2</v>
      </c>
      <c r="H74" s="17">
        <f t="shared" si="34"/>
        <v>2.0494315384364974</v>
      </c>
      <c r="I74" s="17">
        <f t="shared" si="34"/>
        <v>2.0494315384364974</v>
      </c>
      <c r="J74" s="17">
        <f t="shared" si="34"/>
        <v>12.049431538436497</v>
      </c>
      <c r="K74" s="17">
        <f t="shared" si="34"/>
        <v>37.049431538436494</v>
      </c>
      <c r="L74" s="17">
        <f t="shared" si="34"/>
        <v>62.049431538436494</v>
      </c>
      <c r="M74" s="17">
        <f t="shared" si="34"/>
        <v>67.049431538436494</v>
      </c>
      <c r="N74" s="17">
        <f t="shared" si="34"/>
        <v>67.049431538436494</v>
      </c>
      <c r="O74" s="17">
        <f t="shared" si="34"/>
        <v>67.049431538436494</v>
      </c>
      <c r="P74" s="17">
        <f t="shared" si="34"/>
        <v>67.049431538436494</v>
      </c>
      <c r="Q74" s="17">
        <f t="shared" si="34"/>
        <v>67.049431538436494</v>
      </c>
      <c r="R74" s="17">
        <f t="shared" si="34"/>
        <v>80</v>
      </c>
      <c r="S74" s="17">
        <f t="shared" si="34"/>
        <v>80</v>
      </c>
      <c r="T74" s="17">
        <f t="shared" si="34"/>
        <v>80</v>
      </c>
      <c r="U74" s="17">
        <f t="shared" si="34"/>
        <v>80</v>
      </c>
      <c r="V74" s="17">
        <f t="shared" si="34"/>
        <v>80</v>
      </c>
      <c r="W74" s="17">
        <f t="shared" si="34"/>
        <v>80</v>
      </c>
      <c r="X74" s="17">
        <f t="shared" si="34"/>
        <v>76.049431538436494</v>
      </c>
      <c r="Y74" s="17">
        <f t="shared" si="34"/>
        <v>73.049431538436494</v>
      </c>
      <c r="Z74" s="17">
        <f t="shared" si="34"/>
        <v>67.049431538436494</v>
      </c>
      <c r="AA74" s="17">
        <f t="shared" si="34"/>
        <v>66.049431538436494</v>
      </c>
      <c r="AB74" s="283">
        <f t="shared" si="34"/>
        <v>63.049431538436494</v>
      </c>
      <c r="AC74" s="287">
        <f t="shared" si="34"/>
        <v>0</v>
      </c>
      <c r="AD74" s="139"/>
      <c r="AE74" s="13"/>
      <c r="AF74" s="12"/>
      <c r="AG74" s="11"/>
      <c r="AH74" s="81"/>
      <c r="AI74" s="81"/>
    </row>
    <row r="75" spans="1:47" ht="12.75" thickBot="1" x14ac:dyDescent="0.25">
      <c r="A75" s="16" t="s">
        <v>143</v>
      </c>
      <c r="B75" s="15">
        <f t="shared" ref="B75:AC75" si="35">MIN(60,IF(B13="Deploy",60,MAX(0,B73-$B$77)))</f>
        <v>0</v>
      </c>
      <c r="C75" s="15">
        <f t="shared" si="35"/>
        <v>0</v>
      </c>
      <c r="D75" s="15">
        <f t="shared" si="35"/>
        <v>0</v>
      </c>
      <c r="E75" s="15">
        <f t="shared" si="35"/>
        <v>0</v>
      </c>
      <c r="F75" s="15">
        <f t="shared" si="35"/>
        <v>0</v>
      </c>
      <c r="G75" s="15">
        <f t="shared" si="35"/>
        <v>0</v>
      </c>
      <c r="H75" s="15">
        <f t="shared" si="35"/>
        <v>0</v>
      </c>
      <c r="I75" s="15">
        <f t="shared" si="35"/>
        <v>0</v>
      </c>
      <c r="J75" s="15">
        <f t="shared" si="35"/>
        <v>0</v>
      </c>
      <c r="K75" s="15">
        <f t="shared" si="35"/>
        <v>19.098863076872995</v>
      </c>
      <c r="L75" s="15">
        <f t="shared" si="35"/>
        <v>44.098863076872995</v>
      </c>
      <c r="M75" s="15">
        <f t="shared" si="35"/>
        <v>49.098863076872995</v>
      </c>
      <c r="N75" s="15">
        <f t="shared" si="35"/>
        <v>49.098863076872995</v>
      </c>
      <c r="O75" s="15">
        <f t="shared" si="35"/>
        <v>49.098863076872995</v>
      </c>
      <c r="P75" s="15">
        <f t="shared" si="35"/>
        <v>49.098863076872995</v>
      </c>
      <c r="Q75" s="15">
        <f t="shared" si="35"/>
        <v>49.098863076872995</v>
      </c>
      <c r="R75" s="15">
        <f t="shared" si="35"/>
        <v>60</v>
      </c>
      <c r="S75" s="15">
        <f t="shared" si="35"/>
        <v>60</v>
      </c>
      <c r="T75" s="15">
        <f t="shared" si="35"/>
        <v>60</v>
      </c>
      <c r="U75" s="15">
        <f t="shared" si="35"/>
        <v>60</v>
      </c>
      <c r="V75" s="15">
        <f t="shared" si="35"/>
        <v>60</v>
      </c>
      <c r="W75" s="15">
        <f t="shared" si="35"/>
        <v>60</v>
      </c>
      <c r="X75" s="15">
        <f t="shared" si="35"/>
        <v>58.098863076872995</v>
      </c>
      <c r="Y75" s="15">
        <f t="shared" si="35"/>
        <v>55.098863076872995</v>
      </c>
      <c r="Z75" s="15">
        <f t="shared" si="35"/>
        <v>49.098863076872995</v>
      </c>
      <c r="AA75" s="15">
        <f t="shared" si="35"/>
        <v>48.098863076872995</v>
      </c>
      <c r="AB75" s="285">
        <f t="shared" si="35"/>
        <v>45.098863076872995</v>
      </c>
      <c r="AC75" s="288">
        <f t="shared" si="35"/>
        <v>0</v>
      </c>
      <c r="AD75" s="139"/>
    </row>
    <row r="76" spans="1:47" ht="12.75" thickBot="1" x14ac:dyDescent="0.25">
      <c r="A76" s="117" t="s">
        <v>144</v>
      </c>
      <c r="B76" s="118">
        <v>37</v>
      </c>
      <c r="C76" s="118">
        <v>37</v>
      </c>
      <c r="D76" s="118">
        <v>37</v>
      </c>
      <c r="E76" s="118">
        <v>37</v>
      </c>
      <c r="F76" s="118">
        <v>37</v>
      </c>
      <c r="G76" s="118">
        <v>37</v>
      </c>
      <c r="H76" s="118">
        <v>46</v>
      </c>
      <c r="I76" s="118">
        <v>54</v>
      </c>
      <c r="J76" s="118">
        <v>61</v>
      </c>
      <c r="K76" s="118">
        <v>63</v>
      </c>
      <c r="L76" s="118">
        <v>75</v>
      </c>
      <c r="M76" s="118">
        <v>85</v>
      </c>
      <c r="N76" s="118">
        <v>85</v>
      </c>
      <c r="O76" s="118">
        <v>85</v>
      </c>
      <c r="P76" s="118">
        <v>85</v>
      </c>
      <c r="Q76" s="118">
        <v>85</v>
      </c>
      <c r="R76" s="118">
        <v>100</v>
      </c>
      <c r="S76" s="118">
        <v>100</v>
      </c>
      <c r="T76" s="118">
        <v>100</v>
      </c>
      <c r="U76" s="118">
        <v>100</v>
      </c>
      <c r="V76" s="118">
        <v>100</v>
      </c>
      <c r="W76" s="118">
        <v>100</v>
      </c>
      <c r="X76" s="118">
        <v>94</v>
      </c>
      <c r="Y76" s="118">
        <v>91</v>
      </c>
      <c r="Z76" s="118">
        <v>85</v>
      </c>
      <c r="AA76" s="118">
        <v>84</v>
      </c>
      <c r="AB76" s="120">
        <v>81</v>
      </c>
      <c r="AC76" s="159">
        <v>37</v>
      </c>
      <c r="AD76" s="119"/>
      <c r="AE76" s="13"/>
      <c r="AF76" s="12"/>
      <c r="AG76" s="11"/>
      <c r="AH76" s="81"/>
      <c r="AI76" s="81"/>
    </row>
    <row r="77" spans="1:47" x14ac:dyDescent="0.2">
      <c r="A77" s="83" t="s">
        <v>145</v>
      </c>
      <c r="B77" s="84">
        <f t="array" ref="B77">SQRT(SUM(POWER(AVERAGE(B73:AB73)-(B73:AB73),2))/COUNT(B73:AB73))*1</f>
        <v>35.901136923127005</v>
      </c>
      <c r="AH77" s="81"/>
      <c r="AI77" s="81"/>
    </row>
    <row r="78" spans="1:47" ht="12.75" thickBot="1" x14ac:dyDescent="0.25">
      <c r="A78" s="85" t="s">
        <v>146</v>
      </c>
      <c r="B78" s="86">
        <f>B77/2</f>
        <v>17.950568461563503</v>
      </c>
      <c r="AH78" s="81"/>
      <c r="AI78" s="81"/>
    </row>
    <row r="79" spans="1:47" s="81" customFormat="1" ht="12.75" thickBo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
      <c r="AD79" s="10"/>
    </row>
    <row r="80" spans="1:47" s="81" customFormat="1" ht="13.5" thickBot="1" x14ac:dyDescent="0.25">
      <c r="A80" s="446" t="s">
        <v>147</v>
      </c>
      <c r="B80" s="447"/>
      <c r="AC80" s="1"/>
    </row>
    <row r="81" spans="1:35" ht="12.75" thickBot="1" x14ac:dyDescent="0.25">
      <c r="A81" s="448" t="s">
        <v>148</v>
      </c>
      <c r="B81" s="449"/>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D81" s="81"/>
      <c r="AH81" s="81"/>
      <c r="AI81" s="81"/>
    </row>
    <row r="82" spans="1:35" x14ac:dyDescent="0.2">
      <c r="A82" s="5" t="s">
        <v>124</v>
      </c>
      <c r="B82" s="9">
        <v>20</v>
      </c>
      <c r="AH82" s="81"/>
      <c r="AI82" s="81"/>
    </row>
    <row r="83" spans="1:35" x14ac:dyDescent="0.2">
      <c r="A83" s="4" t="s">
        <v>125</v>
      </c>
      <c r="B83" s="8">
        <v>17</v>
      </c>
      <c r="AH83" s="81"/>
      <c r="AI83" s="81"/>
    </row>
    <row r="84" spans="1:35" x14ac:dyDescent="0.2">
      <c r="A84" s="4" t="s">
        <v>149</v>
      </c>
      <c r="B84" s="8">
        <v>4</v>
      </c>
      <c r="AH84" s="81"/>
      <c r="AI84" s="81"/>
    </row>
    <row r="85" spans="1:35" x14ac:dyDescent="0.2">
      <c r="A85" s="4" t="s">
        <v>127</v>
      </c>
      <c r="B85" s="7">
        <v>5</v>
      </c>
      <c r="AH85" s="81"/>
      <c r="AI85" s="81"/>
    </row>
    <row r="86" spans="1:35" x14ac:dyDescent="0.2">
      <c r="A86" s="4" t="s">
        <v>128</v>
      </c>
      <c r="B86" s="7">
        <v>7</v>
      </c>
      <c r="AH86" s="81"/>
      <c r="AI86" s="81"/>
    </row>
    <row r="87" spans="1:35" x14ac:dyDescent="0.2">
      <c r="A87" s="4" t="s">
        <v>129</v>
      </c>
      <c r="B87" s="7">
        <v>10</v>
      </c>
      <c r="AH87" s="81"/>
      <c r="AI87" s="81"/>
    </row>
    <row r="88" spans="1:35" x14ac:dyDescent="0.2">
      <c r="A88" s="4" t="s">
        <v>130</v>
      </c>
      <c r="B88" s="7">
        <v>19</v>
      </c>
      <c r="AH88" s="81"/>
      <c r="AI88" s="81"/>
    </row>
    <row r="89" spans="1:35" x14ac:dyDescent="0.2">
      <c r="A89" s="4" t="s">
        <v>131</v>
      </c>
      <c r="B89" s="7">
        <v>19</v>
      </c>
      <c r="AH89" s="81"/>
      <c r="AI89" s="81"/>
    </row>
    <row r="90" spans="1:35" x14ac:dyDescent="0.2">
      <c r="A90" s="4" t="s">
        <v>150</v>
      </c>
      <c r="B90" s="7">
        <v>4</v>
      </c>
      <c r="AH90" s="81"/>
      <c r="AI90" s="81"/>
    </row>
    <row r="91" spans="1:35" s="81" customFormat="1" x14ac:dyDescent="0.2">
      <c r="A91" s="4" t="s">
        <v>133</v>
      </c>
      <c r="B91" s="7">
        <v>4</v>
      </c>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5" ht="12.75" thickBot="1" x14ac:dyDescent="0.25">
      <c r="A92" s="3" t="s">
        <v>151</v>
      </c>
      <c r="B92" s="6">
        <v>15</v>
      </c>
    </row>
    <row r="93" spans="1:35" ht="12.75" thickBot="1" x14ac:dyDescent="0.25">
      <c r="AH93" s="81"/>
      <c r="AI93" s="81"/>
    </row>
    <row r="94" spans="1:35" ht="13.5" thickBot="1" x14ac:dyDescent="0.25">
      <c r="A94" s="446" t="s">
        <v>152</v>
      </c>
      <c r="B94" s="454"/>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2"/>
      <c r="AC94" s="102"/>
      <c r="AD94" s="11"/>
    </row>
    <row r="95" spans="1:35" x14ac:dyDescent="0.2">
      <c r="A95" s="87" t="s">
        <v>153</v>
      </c>
      <c r="B95" s="99" t="s">
        <v>154</v>
      </c>
      <c r="C95" s="99" t="s">
        <v>154</v>
      </c>
      <c r="D95" s="99" t="s">
        <v>154</v>
      </c>
      <c r="E95" s="99" t="s">
        <v>154</v>
      </c>
      <c r="F95" s="99" t="s">
        <v>154</v>
      </c>
      <c r="G95" s="99" t="s">
        <v>154</v>
      </c>
      <c r="H95" s="99" t="s">
        <v>154</v>
      </c>
      <c r="I95" s="99" t="s">
        <v>154</v>
      </c>
      <c r="J95" s="99"/>
      <c r="K95" s="99" t="s">
        <v>154</v>
      </c>
      <c r="L95" s="99"/>
      <c r="M95" s="99"/>
      <c r="N95" s="99" t="s">
        <v>154</v>
      </c>
      <c r="O95" s="99" t="s">
        <v>154</v>
      </c>
      <c r="P95" s="99"/>
      <c r="Q95" s="99"/>
      <c r="R95" s="99"/>
      <c r="S95" s="99"/>
      <c r="T95" s="99"/>
      <c r="U95" s="99"/>
      <c r="V95" s="99"/>
      <c r="W95" s="99"/>
      <c r="X95" s="99"/>
      <c r="Y95" s="99" t="s">
        <v>154</v>
      </c>
      <c r="Z95" s="99" t="s">
        <v>154</v>
      </c>
      <c r="AA95" s="99" t="s">
        <v>154</v>
      </c>
      <c r="AB95" s="100" t="s">
        <v>154</v>
      </c>
      <c r="AC95" s="100" t="s">
        <v>154</v>
      </c>
      <c r="AD95" s="153"/>
    </row>
    <row r="96" spans="1:35" ht="12.75" thickBot="1" x14ac:dyDescent="0.25">
      <c r="A96" s="75" t="s">
        <v>155</v>
      </c>
      <c r="B96" s="76"/>
      <c r="C96" s="76"/>
      <c r="D96" s="76"/>
      <c r="E96" s="76"/>
      <c r="F96" s="76"/>
      <c r="G96" s="76"/>
      <c r="H96" s="76"/>
      <c r="I96" s="76"/>
      <c r="J96" s="76" t="s">
        <v>154</v>
      </c>
      <c r="K96" s="76"/>
      <c r="L96" s="76" t="s">
        <v>154</v>
      </c>
      <c r="M96" s="76" t="s">
        <v>154</v>
      </c>
      <c r="N96" s="76"/>
      <c r="O96" s="76"/>
      <c r="P96" s="76" t="s">
        <v>154</v>
      </c>
      <c r="Q96" s="76" t="s">
        <v>154</v>
      </c>
      <c r="R96" s="76" t="s">
        <v>154</v>
      </c>
      <c r="S96" s="76" t="s">
        <v>154</v>
      </c>
      <c r="T96" s="76" t="s">
        <v>154</v>
      </c>
      <c r="U96" s="76" t="s">
        <v>154</v>
      </c>
      <c r="V96" s="76" t="s">
        <v>154</v>
      </c>
      <c r="W96" s="76" t="s">
        <v>154</v>
      </c>
      <c r="X96" s="76" t="s">
        <v>154</v>
      </c>
      <c r="Y96" s="76"/>
      <c r="Z96" s="76"/>
      <c r="AA96" s="76"/>
      <c r="AB96" s="76"/>
      <c r="AC96" s="2"/>
      <c r="AD96" s="153"/>
    </row>
    <row r="97" spans="1:9" ht="12.75" thickBot="1" x14ac:dyDescent="0.25"/>
    <row r="98" spans="1:9" ht="12.75" x14ac:dyDescent="0.2">
      <c r="A98" s="160" t="s">
        <v>156</v>
      </c>
      <c r="B98" s="450" t="s">
        <v>157</v>
      </c>
      <c r="C98" s="450"/>
      <c r="D98" s="451" t="s">
        <v>158</v>
      </c>
      <c r="E98" s="451"/>
      <c r="F98" s="452" t="s">
        <v>159</v>
      </c>
      <c r="G98" s="453"/>
      <c r="I98" s="332" t="s">
        <v>29</v>
      </c>
    </row>
    <row r="99" spans="1:9" ht="12.75" x14ac:dyDescent="0.2">
      <c r="A99" s="161" t="s">
        <v>160</v>
      </c>
      <c r="B99" s="162"/>
      <c r="C99" s="162"/>
      <c r="D99" s="162"/>
      <c r="E99" s="162"/>
      <c r="F99" s="162"/>
      <c r="G99" s="163"/>
      <c r="I99" s="334" t="s">
        <v>161</v>
      </c>
    </row>
    <row r="100" spans="1:9" x14ac:dyDescent="0.2">
      <c r="A100" s="164" t="s">
        <v>162</v>
      </c>
      <c r="B100" s="165">
        <v>14</v>
      </c>
      <c r="C100" s="165">
        <v>14</v>
      </c>
      <c r="D100" s="166">
        <v>11</v>
      </c>
      <c r="E100" s="166">
        <v>8</v>
      </c>
      <c r="F100" s="167">
        <v>9</v>
      </c>
      <c r="G100" s="168">
        <v>0</v>
      </c>
    </row>
    <row r="101" spans="1:9" x14ac:dyDescent="0.2">
      <c r="A101" s="164" t="s">
        <v>163</v>
      </c>
      <c r="B101" s="165">
        <v>14</v>
      </c>
      <c r="C101" s="165">
        <v>11</v>
      </c>
      <c r="D101" s="166">
        <v>10</v>
      </c>
      <c r="E101" s="166">
        <v>6</v>
      </c>
      <c r="F101" s="167">
        <v>7</v>
      </c>
      <c r="G101" s="168">
        <v>0</v>
      </c>
    </row>
    <row r="102" spans="1:9" x14ac:dyDescent="0.2">
      <c r="A102" s="161" t="s">
        <v>111</v>
      </c>
      <c r="B102" s="169"/>
      <c r="C102" s="170"/>
      <c r="D102" s="170"/>
      <c r="E102" s="170"/>
      <c r="F102" s="170"/>
      <c r="G102" s="171"/>
    </row>
    <row r="103" spans="1:9" x14ac:dyDescent="0.2">
      <c r="A103" s="164" t="str">
        <f>A39</f>
        <v>Ready Countermeasures Mission Systems (C)</v>
      </c>
      <c r="B103" s="165">
        <v>14</v>
      </c>
      <c r="C103" s="165">
        <v>11</v>
      </c>
      <c r="D103" s="166">
        <v>10</v>
      </c>
      <c r="E103" s="166">
        <v>6</v>
      </c>
      <c r="F103" s="167">
        <v>7</v>
      </c>
      <c r="G103" s="168">
        <v>0</v>
      </c>
    </row>
    <row r="104" spans="1:9" x14ac:dyDescent="0.2">
      <c r="A104" s="164" t="str">
        <f t="shared" ref="A104:A110" si="36">A40</f>
        <v>Ready Air to Air Mission Systems (D)</v>
      </c>
      <c r="B104" s="165">
        <v>14</v>
      </c>
      <c r="C104" s="165">
        <v>11</v>
      </c>
      <c r="D104" s="166">
        <v>10</v>
      </c>
      <c r="E104" s="166">
        <v>6</v>
      </c>
      <c r="F104" s="167">
        <v>7</v>
      </c>
      <c r="G104" s="168">
        <v>0</v>
      </c>
    </row>
    <row r="105" spans="1:9" x14ac:dyDescent="0.2">
      <c r="A105" s="164" t="str">
        <f t="shared" si="36"/>
        <v>Ready Close Air Support (CAS) Mission Systems (E)</v>
      </c>
      <c r="B105" s="165">
        <v>14</v>
      </c>
      <c r="C105" s="165">
        <v>6</v>
      </c>
      <c r="D105" s="166">
        <v>5</v>
      </c>
      <c r="E105" s="166">
        <v>4</v>
      </c>
      <c r="F105" s="167">
        <v>3</v>
      </c>
      <c r="G105" s="168">
        <v>0</v>
      </c>
    </row>
    <row r="106" spans="1:9" x14ac:dyDescent="0.2">
      <c r="A106" s="164" t="str">
        <f t="shared" si="36"/>
        <v>Ready Night Capable Mission Systems (H)</v>
      </c>
      <c r="B106" s="165"/>
      <c r="C106" s="165"/>
      <c r="D106" s="166"/>
      <c r="E106" s="166"/>
      <c r="F106" s="167"/>
      <c r="G106" s="168"/>
    </row>
    <row r="107" spans="1:9" x14ac:dyDescent="0.2">
      <c r="A107" s="164" t="str">
        <f t="shared" si="36"/>
        <v>Ready Basic Strike Fighter Mission Systems (J)</v>
      </c>
      <c r="B107" s="165">
        <v>14</v>
      </c>
      <c r="C107" s="165">
        <v>11</v>
      </c>
      <c r="D107" s="166">
        <v>10</v>
      </c>
      <c r="E107" s="166">
        <v>6</v>
      </c>
      <c r="F107" s="167">
        <v>7</v>
      </c>
      <c r="G107" s="168">
        <v>0</v>
      </c>
    </row>
    <row r="108" spans="1:9" x14ac:dyDescent="0.2">
      <c r="A108" s="164" t="str">
        <f t="shared" si="36"/>
        <v>Ready Expanded Mobility/Shipboard Mission Systems (K)</v>
      </c>
      <c r="B108" s="165">
        <v>14</v>
      </c>
      <c r="C108" s="165">
        <v>11</v>
      </c>
      <c r="D108" s="166">
        <v>10</v>
      </c>
      <c r="E108" s="166">
        <v>6</v>
      </c>
      <c r="F108" s="167">
        <v>7</v>
      </c>
      <c r="G108" s="168">
        <v>0</v>
      </c>
    </row>
    <row r="109" spans="1:9" x14ac:dyDescent="0.2">
      <c r="A109" s="164" t="str">
        <f t="shared" si="36"/>
        <v>Ready LO Mission Systems (M)</v>
      </c>
      <c r="B109" s="165"/>
      <c r="C109" s="165"/>
      <c r="D109" s="166"/>
      <c r="E109" s="166"/>
      <c r="F109" s="167"/>
      <c r="G109" s="168"/>
    </row>
    <row r="110" spans="1:9" x14ac:dyDescent="0.2">
      <c r="A110" s="164" t="str">
        <f t="shared" si="36"/>
        <v>Ready IMC Flight Mission Systems (L)</v>
      </c>
      <c r="B110" s="165">
        <v>14</v>
      </c>
      <c r="C110" s="165">
        <v>11</v>
      </c>
      <c r="D110" s="166">
        <v>10</v>
      </c>
      <c r="E110" s="166">
        <v>6</v>
      </c>
      <c r="F110" s="167">
        <v>7</v>
      </c>
      <c r="G110" s="168">
        <v>0</v>
      </c>
    </row>
    <row r="111" spans="1:9" x14ac:dyDescent="0.2">
      <c r="A111" s="161" t="s">
        <v>120</v>
      </c>
      <c r="B111" s="169"/>
      <c r="C111" s="170"/>
      <c r="D111" s="170"/>
      <c r="E111" s="170"/>
      <c r="F111" s="170"/>
      <c r="G111" s="171"/>
    </row>
    <row r="112" spans="1:9" x14ac:dyDescent="0.2">
      <c r="A112" s="164" t="str">
        <f>A48</f>
        <v>Assigned Gun Pod Sets</v>
      </c>
      <c r="B112" s="165">
        <v>7</v>
      </c>
      <c r="C112" s="165">
        <v>7</v>
      </c>
      <c r="D112" s="166">
        <v>6</v>
      </c>
      <c r="E112" s="166">
        <v>5</v>
      </c>
      <c r="F112" s="167">
        <v>4</v>
      </c>
      <c r="G112" s="168">
        <v>0</v>
      </c>
    </row>
    <row r="113" spans="1:7" ht="12.75" thickBot="1" x14ac:dyDescent="0.25">
      <c r="A113" s="172" t="str">
        <f>A49</f>
        <v xml:space="preserve">Ready Gun Pod Sets </v>
      </c>
      <c r="B113" s="173">
        <v>7</v>
      </c>
      <c r="C113" s="173">
        <v>6</v>
      </c>
      <c r="D113" s="174">
        <v>5</v>
      </c>
      <c r="E113" s="174">
        <v>4</v>
      </c>
      <c r="F113" s="175">
        <v>3</v>
      </c>
      <c r="G113" s="176">
        <v>0</v>
      </c>
    </row>
    <row r="116" spans="1:7" x14ac:dyDescent="0.2">
      <c r="A116" s="356" t="s">
        <v>164</v>
      </c>
      <c r="B116" s="1" t="s">
        <v>176</v>
      </c>
    </row>
    <row r="117" spans="1:7" x14ac:dyDescent="0.2">
      <c r="A117" s="357" t="s">
        <v>166</v>
      </c>
      <c r="B117" s="358">
        <f>HLOOKUP($B$116,'F-35C MIssion System Summary'!$B$1:$F$12,2,FALSE)</f>
        <v>0.33</v>
      </c>
    </row>
    <row r="118" spans="1:7" x14ac:dyDescent="0.2">
      <c r="A118" s="357" t="str">
        <f t="shared" ref="A118:A125" si="37">A39</f>
        <v>Ready Countermeasures Mission Systems (C)</v>
      </c>
      <c r="B118" s="358">
        <f>HLOOKUP($B$116,'F-35C MIssion System Summary'!$B$1:$F$12,3,FALSE)</f>
        <v>0.33</v>
      </c>
    </row>
    <row r="119" spans="1:7" x14ac:dyDescent="0.2">
      <c r="A119" s="357" t="str">
        <f t="shared" si="37"/>
        <v>Ready Air to Air Mission Systems (D)</v>
      </c>
      <c r="B119" s="358">
        <f>HLOOKUP($B$116,'F-35C MIssion System Summary'!$B$1:$F$12,4,FALSE)</f>
        <v>0.33</v>
      </c>
    </row>
    <row r="120" spans="1:7" x14ac:dyDescent="0.2">
      <c r="A120" s="357" t="str">
        <f t="shared" si="37"/>
        <v>Ready Close Air Support (CAS) Mission Systems (E)</v>
      </c>
      <c r="B120" s="358">
        <f>HLOOKUP($B$116,'F-35C MIssion System Summary'!$B$1:$F$12,5,FALSE)</f>
        <v>0.33</v>
      </c>
    </row>
    <row r="121" spans="1:7" x14ac:dyDescent="0.2">
      <c r="A121" s="357" t="str">
        <f t="shared" si="37"/>
        <v>Ready Night Capable Mission Systems (H)</v>
      </c>
      <c r="B121" s="24"/>
    </row>
    <row r="122" spans="1:7" x14ac:dyDescent="0.2">
      <c r="A122" s="357" t="str">
        <f t="shared" si="37"/>
        <v>Ready Basic Strike Fighter Mission Systems (J)</v>
      </c>
      <c r="B122" s="358">
        <f>HLOOKUP($B$116,'F-35C MIssion System Summary'!$B$1:$F$12,6,FALSE)</f>
        <v>0.33</v>
      </c>
    </row>
    <row r="123" spans="1:7" x14ac:dyDescent="0.2">
      <c r="A123" s="357" t="str">
        <f t="shared" si="37"/>
        <v>Ready Expanded Mobility/Shipboard Mission Systems (K)</v>
      </c>
      <c r="B123" s="358">
        <f>HLOOKUP($B$116,'F-35C MIssion System Summary'!$B$1:$F$12,7,FALSE)</f>
        <v>0.33</v>
      </c>
    </row>
    <row r="124" spans="1:7" x14ac:dyDescent="0.2">
      <c r="A124" s="357" t="str">
        <f t="shared" si="37"/>
        <v>Ready LO Mission Systems (M)</v>
      </c>
      <c r="B124" s="24"/>
    </row>
    <row r="125" spans="1:7" x14ac:dyDescent="0.2">
      <c r="A125" s="357" t="str">
        <f t="shared" si="37"/>
        <v>Ready IMC Flight Mission Systems (L)</v>
      </c>
      <c r="B125" s="358">
        <f>HLOOKUP($B$116,'F-35C MIssion System Summary'!$B$1:$F$12,8,FALSE)</f>
        <v>1</v>
      </c>
    </row>
  </sheetData>
  <mergeCells count="14">
    <mergeCell ref="R16:W16"/>
    <mergeCell ref="X16:AB16"/>
    <mergeCell ref="A80:B80"/>
    <mergeCell ref="A81:B81"/>
    <mergeCell ref="B98:C98"/>
    <mergeCell ref="D98:E98"/>
    <mergeCell ref="F98:G98"/>
    <mergeCell ref="A94:B94"/>
    <mergeCell ref="M1:P1"/>
    <mergeCell ref="B16:E16"/>
    <mergeCell ref="F16:J16"/>
    <mergeCell ref="K16:M16"/>
    <mergeCell ref="N16:Q16"/>
    <mergeCell ref="A1:F1"/>
  </mergeCells>
  <conditionalFormatting sqref="AD39:AD43">
    <cfRule type="cellIs" dxfId="20" priority="41" operator="greaterThan">
      <formula>AD$36</formula>
    </cfRule>
  </conditionalFormatting>
  <conditionalFormatting sqref="D100:E105 D107:E113">
    <cfRule type="cellIs" dxfId="19" priority="5" operator="equal">
      <formula>C100</formula>
    </cfRule>
  </conditionalFormatting>
  <conditionalFormatting sqref="C100:C105 C107:C113">
    <cfRule type="cellIs" dxfId="18" priority="14" operator="equal">
      <formula>B100</formula>
    </cfRule>
  </conditionalFormatting>
  <conditionalFormatting sqref="F100">
    <cfRule type="cellIs" dxfId="17" priority="13" operator="equal">
      <formula>E100</formula>
    </cfRule>
  </conditionalFormatting>
  <conditionalFormatting sqref="F101:F105 F107:F113">
    <cfRule type="cellIs" dxfId="16" priority="15" operator="equal">
      <formula>E101</formula>
    </cfRule>
    <cfRule type="cellIs" dxfId="15" priority="16" operator="equal">
      <formula>G101</formula>
    </cfRule>
  </conditionalFormatting>
  <conditionalFormatting sqref="E100:E101">
    <cfRule type="cellIs" dxfId="14" priority="12" operator="equal">
      <formula>D100</formula>
    </cfRule>
  </conditionalFormatting>
  <conditionalFormatting sqref="F100">
    <cfRule type="cellIs" dxfId="13" priority="10" operator="equal">
      <formula>E100</formula>
    </cfRule>
  </conditionalFormatting>
  <conditionalFormatting sqref="C100">
    <cfRule type="cellIs" dxfId="12" priority="11" operator="equal">
      <formula>B100</formula>
    </cfRule>
  </conditionalFormatting>
  <conditionalFormatting sqref="E100:E101">
    <cfRule type="cellIs" dxfId="11" priority="9" operator="equal">
      <formula>D100</formula>
    </cfRule>
  </conditionalFormatting>
  <conditionalFormatting sqref="F100">
    <cfRule type="cellIs" dxfId="10" priority="8" operator="equal">
      <formula>E100</formula>
    </cfRule>
  </conditionalFormatting>
  <conditionalFormatting sqref="C100">
    <cfRule type="cellIs" dxfId="9" priority="7" operator="equal">
      <formula>B100</formula>
    </cfRule>
  </conditionalFormatting>
  <conditionalFormatting sqref="D100">
    <cfRule type="cellIs" dxfId="8" priority="6" operator="equal">
      <formula>C100</formula>
    </cfRule>
  </conditionalFormatting>
  <conditionalFormatting sqref="D106:E106">
    <cfRule type="cellIs" dxfId="7" priority="1" operator="equal">
      <formula>C106</formula>
    </cfRule>
  </conditionalFormatting>
  <conditionalFormatting sqref="C106">
    <cfRule type="cellIs" dxfId="6" priority="2" operator="equal">
      <formula>B106</formula>
    </cfRule>
  </conditionalFormatting>
  <conditionalFormatting sqref="F106">
    <cfRule type="cellIs" dxfId="5" priority="3" operator="equal">
      <formula>E106</formula>
    </cfRule>
    <cfRule type="cellIs" dxfId="4" priority="4" operator="equal">
      <formula>G106</formula>
    </cfRule>
  </conditionalFormatting>
  <hyperlinks>
    <hyperlink ref="G1" location="Inventory!A1" display="Inventory" xr:uid="{00000000-0004-0000-0300-000000000000}"/>
    <hyperlink ref="G2" location="'VFA 14 Plane F35'!A120" display="AMFOM" xr:uid="{00000000-0004-0000-0300-000001000000}"/>
    <hyperlink ref="I98" location="Inventory!A1" display="Inventory" xr:uid="{00000000-0004-0000-0300-000002000000}"/>
    <hyperlink ref="I99" location="'VFA 14 Plane F35'!A1" display="Top" xr:uid="{00000000-0004-0000-0300-000003000000}"/>
  </hyperlinks>
  <printOptions horizontalCentered="1" verticalCentered="1"/>
  <pageMargins left="0.5" right="0.25" top="0.5" bottom="0.5" header="0.5" footer="0.5"/>
  <pageSetup scale="3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42"/>
  <sheetViews>
    <sheetView showGridLines="0" topLeftCell="A17" zoomScaleNormal="100" zoomScaleSheetLayoutView="100" workbookViewId="0">
      <selection activeCell="A27" sqref="A27:B29"/>
    </sheetView>
  </sheetViews>
  <sheetFormatPr defaultRowHeight="11.25" x14ac:dyDescent="0.2"/>
  <cols>
    <col min="1" max="1" width="54.7109375" style="254" bestFit="1" customWidth="1"/>
    <col min="2" max="2" width="7.42578125" style="254" customWidth="1"/>
    <col min="3" max="5" width="7.42578125" style="251" customWidth="1"/>
    <col min="6" max="7" width="7.42578125" style="252" customWidth="1"/>
    <col min="8" max="14" width="5.7109375" style="252" customWidth="1"/>
    <col min="15" max="16" width="5.7109375" style="253" customWidth="1"/>
    <col min="17" max="29" width="5.7109375" style="254" customWidth="1"/>
    <col min="30" max="30" width="8.42578125" style="254" bestFit="1" customWidth="1"/>
    <col min="31" max="16384" width="9.140625" style="254"/>
  </cols>
  <sheetData>
    <row r="1" spans="1:46" s="245" customFormat="1" ht="18.75" x14ac:dyDescent="0.3">
      <c r="A1" s="455" t="s">
        <v>177</v>
      </c>
      <c r="B1" s="455"/>
      <c r="C1" s="455"/>
      <c r="D1" s="455"/>
      <c r="E1" s="455"/>
      <c r="F1" s="244" t="s">
        <v>29</v>
      </c>
      <c r="H1" s="246" t="s">
        <v>30</v>
      </c>
      <c r="I1" s="456">
        <v>44835</v>
      </c>
      <c r="J1" s="456"/>
      <c r="M1" s="247"/>
      <c r="N1" s="247"/>
      <c r="O1" s="248"/>
      <c r="P1" s="248"/>
      <c r="AC1" s="347" t="s">
        <v>31</v>
      </c>
      <c r="AD1" s="347">
        <v>11.03</v>
      </c>
    </row>
    <row r="2" spans="1:46" ht="12" x14ac:dyDescent="0.2">
      <c r="A2" s="249"/>
      <c r="B2" s="250" t="s">
        <v>178</v>
      </c>
    </row>
    <row r="3" spans="1:46" ht="12" x14ac:dyDescent="0.2">
      <c r="A3" s="255" t="s">
        <v>179</v>
      </c>
      <c r="B3" s="256">
        <v>29</v>
      </c>
    </row>
    <row r="4" spans="1:46" x14ac:dyDescent="0.2">
      <c r="A4" s="249"/>
      <c r="B4" s="257"/>
    </row>
    <row r="5" spans="1:46" x14ac:dyDescent="0.2">
      <c r="A5" s="249"/>
      <c r="B5" s="257"/>
    </row>
    <row r="6" spans="1:46" ht="56.25" customHeight="1" x14ac:dyDescent="0.2">
      <c r="A6" s="273" t="s">
        <v>45</v>
      </c>
      <c r="B6" s="51" t="s">
        <v>22</v>
      </c>
      <c r="E6" s="254"/>
    </row>
    <row r="7" spans="1:46" ht="12" x14ac:dyDescent="0.2">
      <c r="A7" s="273" t="s">
        <v>53</v>
      </c>
      <c r="B7" s="258" t="s">
        <v>180</v>
      </c>
      <c r="E7" s="254"/>
    </row>
    <row r="8" spans="1:46" s="259" customFormat="1" ht="12" x14ac:dyDescent="0.2">
      <c r="A8" s="273" t="s">
        <v>82</v>
      </c>
      <c r="B8" s="49">
        <v>1</v>
      </c>
      <c r="C8" s="251"/>
      <c r="D8" s="251"/>
      <c r="F8" s="252"/>
      <c r="G8" s="252"/>
      <c r="H8" s="252"/>
      <c r="I8" s="252"/>
      <c r="J8" s="252"/>
      <c r="K8" s="252"/>
      <c r="L8" s="252"/>
      <c r="M8" s="252"/>
      <c r="N8" s="252"/>
      <c r="O8" s="260"/>
      <c r="P8" s="260"/>
    </row>
    <row r="9" spans="1:46" s="259" customFormat="1" ht="12" x14ac:dyDescent="0.2">
      <c r="A9" s="273" t="s">
        <v>83</v>
      </c>
      <c r="B9" s="49" t="s">
        <v>22</v>
      </c>
      <c r="C9" s="251"/>
      <c r="D9" s="251"/>
      <c r="F9" s="252"/>
      <c r="G9" s="252"/>
      <c r="H9" s="252"/>
      <c r="I9" s="252"/>
      <c r="J9" s="252"/>
      <c r="K9" s="252"/>
      <c r="L9" s="252"/>
      <c r="M9" s="252"/>
      <c r="N9" s="252"/>
      <c r="O9" s="260"/>
      <c r="P9" s="260"/>
    </row>
    <row r="10" spans="1:46" s="259" customFormat="1" ht="12.75" x14ac:dyDescent="0.2">
      <c r="A10" s="27" t="s">
        <v>104</v>
      </c>
      <c r="B10" s="49"/>
      <c r="C10" s="251"/>
      <c r="D10" s="251"/>
      <c r="F10" s="252"/>
      <c r="G10" s="252"/>
      <c r="H10" s="252"/>
      <c r="I10" s="252"/>
      <c r="J10" s="252"/>
      <c r="K10" s="252"/>
      <c r="L10" s="252"/>
      <c r="M10" s="252"/>
      <c r="N10" s="252"/>
      <c r="O10" s="260"/>
      <c r="P10" s="260"/>
    </row>
    <row r="11" spans="1:46" s="259" customFormat="1" ht="12" x14ac:dyDescent="0.2">
      <c r="A11" s="35" t="s">
        <v>105</v>
      </c>
      <c r="B11" s="37" t="s">
        <v>181</v>
      </c>
      <c r="C11" s="140"/>
      <c r="D11" s="251"/>
      <c r="E11" s="251"/>
      <c r="G11" s="252"/>
      <c r="H11" s="302"/>
      <c r="I11" s="252"/>
      <c r="J11" s="252"/>
      <c r="K11" s="252"/>
      <c r="L11" s="252"/>
      <c r="M11" s="252"/>
      <c r="N11" s="252"/>
      <c r="O11" s="252"/>
      <c r="P11" s="260"/>
      <c r="Q11" s="260"/>
    </row>
    <row r="12" spans="1:46" s="259" customFormat="1" ht="12" x14ac:dyDescent="0.2">
      <c r="A12" s="35" t="s">
        <v>106</v>
      </c>
      <c r="B12" s="37">
        <v>0.75</v>
      </c>
      <c r="C12" s="140"/>
      <c r="D12" s="251"/>
      <c r="E12" s="251"/>
      <c r="G12" s="252"/>
      <c r="H12" s="303"/>
      <c r="I12" s="252"/>
      <c r="J12" s="252"/>
      <c r="K12" s="252"/>
      <c r="L12" s="252"/>
      <c r="M12" s="252"/>
      <c r="N12" s="252"/>
      <c r="O12" s="252"/>
      <c r="P12" s="260"/>
      <c r="Q12" s="260"/>
    </row>
    <row r="13" spans="1:46" s="259" customFormat="1" ht="12" x14ac:dyDescent="0.2">
      <c r="A13" s="273" t="s">
        <v>107</v>
      </c>
      <c r="B13" s="37">
        <v>0.25</v>
      </c>
      <c r="C13" s="140"/>
      <c r="D13" s="251"/>
      <c r="E13" s="251"/>
      <c r="G13" s="252"/>
      <c r="H13" s="303"/>
      <c r="I13" s="252"/>
      <c r="J13" s="252"/>
      <c r="K13" s="252"/>
      <c r="L13" s="252"/>
      <c r="M13" s="252"/>
      <c r="N13" s="252"/>
      <c r="O13" s="252"/>
      <c r="P13" s="260"/>
      <c r="Q13" s="260"/>
    </row>
    <row r="14" spans="1:46" ht="12.75" x14ac:dyDescent="0.2">
      <c r="A14" s="261" t="s">
        <v>182</v>
      </c>
      <c r="B14" s="262" t="s">
        <v>178</v>
      </c>
      <c r="C14" s="263"/>
      <c r="D14" s="263"/>
      <c r="E14" s="263"/>
      <c r="F14" s="264"/>
      <c r="G14" s="264"/>
      <c r="H14" s="264"/>
      <c r="I14" s="264"/>
      <c r="J14" s="264"/>
      <c r="K14" s="264"/>
      <c r="L14" s="264"/>
      <c r="M14" s="264"/>
      <c r="N14" s="264"/>
      <c r="O14" s="265"/>
      <c r="P14" s="265"/>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row>
    <row r="15" spans="1:46" s="270" customFormat="1" ht="12" x14ac:dyDescent="0.2">
      <c r="A15" s="274" t="s">
        <v>108</v>
      </c>
      <c r="B15" s="271">
        <v>17</v>
      </c>
      <c r="C15" s="267"/>
      <c r="D15" s="267"/>
      <c r="E15" s="267"/>
      <c r="F15" s="268"/>
      <c r="G15" s="268"/>
      <c r="H15" s="268"/>
      <c r="I15" s="268"/>
      <c r="J15" s="268"/>
      <c r="K15" s="268"/>
      <c r="L15" s="268"/>
      <c r="M15" s="268"/>
      <c r="N15" s="268"/>
      <c r="O15" s="269"/>
      <c r="P15" s="269"/>
    </row>
    <row r="16" spans="1:46" ht="12" x14ac:dyDescent="0.2">
      <c r="A16" s="274" t="s">
        <v>109</v>
      </c>
      <c r="B16" s="271">
        <f>B15*B12</f>
        <v>12.75</v>
      </c>
      <c r="C16" s="263"/>
      <c r="D16" s="263"/>
      <c r="E16" s="263"/>
      <c r="F16" s="264"/>
      <c r="G16" s="264"/>
      <c r="H16" s="264"/>
      <c r="I16" s="264"/>
      <c r="J16" s="264"/>
      <c r="K16" s="264"/>
      <c r="L16" s="264"/>
      <c r="M16" s="264"/>
      <c r="N16" s="264"/>
      <c r="O16" s="265"/>
      <c r="P16" s="265"/>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row>
    <row r="17" spans="1:46" ht="12" x14ac:dyDescent="0.2">
      <c r="A17" s="274" t="s">
        <v>110</v>
      </c>
      <c r="B17" s="271">
        <f>B15*B13</f>
        <v>4.25</v>
      </c>
      <c r="C17" s="263"/>
      <c r="D17" s="263"/>
      <c r="E17" s="263"/>
      <c r="F17" s="264"/>
      <c r="G17" s="264"/>
      <c r="H17" s="264"/>
      <c r="I17" s="264"/>
      <c r="J17" s="264"/>
      <c r="K17" s="264"/>
      <c r="L17" s="264"/>
      <c r="M17" s="264"/>
      <c r="N17" s="264"/>
      <c r="O17" s="265"/>
      <c r="P17" s="265"/>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row>
    <row r="18" spans="1:46" ht="12.75" x14ac:dyDescent="0.2">
      <c r="A18" s="178" t="s">
        <v>111</v>
      </c>
      <c r="B18" s="271"/>
      <c r="C18" s="263"/>
      <c r="D18" s="263"/>
      <c r="E18" s="263"/>
      <c r="F18" s="264"/>
      <c r="G18" s="264"/>
      <c r="H18" s="264"/>
      <c r="I18" s="264"/>
      <c r="J18" s="264"/>
      <c r="K18" s="264"/>
      <c r="L18" s="264"/>
      <c r="M18" s="264"/>
      <c r="N18" s="264"/>
      <c r="O18" s="265"/>
      <c r="P18" s="265"/>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row>
    <row r="19" spans="1:46" ht="12" x14ac:dyDescent="0.2">
      <c r="A19" s="409" t="s">
        <v>112</v>
      </c>
      <c r="B19" s="436">
        <v>4.25</v>
      </c>
      <c r="C19" s="350"/>
      <c r="D19" s="263"/>
      <c r="E19" s="263"/>
      <c r="F19" s="264"/>
      <c r="G19" s="264"/>
      <c r="H19" s="264"/>
      <c r="I19" s="264"/>
      <c r="J19" s="264"/>
      <c r="K19" s="264"/>
      <c r="L19" s="264"/>
      <c r="M19" s="264"/>
      <c r="N19" s="264"/>
      <c r="O19" s="265"/>
      <c r="P19" s="265"/>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row>
    <row r="20" spans="1:46" ht="12" x14ac:dyDescent="0.2">
      <c r="A20" s="409" t="s">
        <v>113</v>
      </c>
      <c r="B20" s="436">
        <v>4.25</v>
      </c>
      <c r="C20" s="263"/>
      <c r="D20" s="263"/>
      <c r="E20" s="263"/>
      <c r="F20" s="264"/>
      <c r="G20" s="264"/>
      <c r="H20" s="264"/>
      <c r="I20" s="264"/>
      <c r="J20" s="264"/>
      <c r="K20" s="264"/>
      <c r="L20" s="264"/>
      <c r="M20" s="264"/>
      <c r="N20" s="264"/>
      <c r="O20" s="265"/>
      <c r="P20" s="265"/>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row>
    <row r="21" spans="1:46" ht="12" x14ac:dyDescent="0.2">
      <c r="A21" s="409" t="s">
        <v>114</v>
      </c>
      <c r="B21" s="436">
        <v>4.25</v>
      </c>
      <c r="C21" s="263"/>
      <c r="D21" s="263"/>
      <c r="E21" s="263"/>
      <c r="F21" s="264"/>
      <c r="G21" s="264"/>
      <c r="H21" s="264"/>
      <c r="I21" s="264"/>
      <c r="J21" s="264"/>
      <c r="K21" s="264"/>
      <c r="L21" s="264"/>
      <c r="M21" s="264"/>
      <c r="N21" s="264"/>
      <c r="O21" s="265"/>
      <c r="P21" s="265"/>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row>
    <row r="22" spans="1:46" ht="12" x14ac:dyDescent="0.2">
      <c r="A22" s="409" t="s">
        <v>115</v>
      </c>
      <c r="B22" s="436">
        <v>4.25</v>
      </c>
      <c r="C22" s="263"/>
      <c r="D22" s="263"/>
      <c r="E22" s="263"/>
      <c r="F22" s="264"/>
      <c r="G22" s="264"/>
      <c r="H22" s="264"/>
      <c r="I22" s="264"/>
      <c r="J22" s="264"/>
      <c r="K22" s="264"/>
      <c r="L22" s="264"/>
      <c r="M22" s="264"/>
      <c r="N22" s="264"/>
      <c r="O22" s="265"/>
      <c r="P22" s="265"/>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row>
    <row r="23" spans="1:46" ht="12" x14ac:dyDescent="0.2">
      <c r="A23" s="409" t="s">
        <v>116</v>
      </c>
      <c r="B23" s="436">
        <v>4.25</v>
      </c>
      <c r="C23" s="263"/>
      <c r="D23" s="263"/>
      <c r="E23" s="263"/>
      <c r="F23" s="264"/>
      <c r="G23" s="264"/>
      <c r="H23" s="264"/>
      <c r="I23" s="264"/>
      <c r="J23" s="264"/>
      <c r="K23" s="264"/>
      <c r="L23" s="264"/>
      <c r="M23" s="264"/>
      <c r="N23" s="264"/>
      <c r="O23" s="265"/>
      <c r="P23" s="265"/>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row>
    <row r="24" spans="1:46" ht="12" x14ac:dyDescent="0.2">
      <c r="A24" s="409" t="s">
        <v>117</v>
      </c>
      <c r="B24" s="436">
        <v>4.25</v>
      </c>
      <c r="C24" s="263"/>
      <c r="D24" s="263"/>
      <c r="E24" s="263"/>
      <c r="F24" s="264"/>
      <c r="G24" s="264"/>
      <c r="H24" s="264"/>
      <c r="I24" s="264"/>
      <c r="J24" s="264"/>
      <c r="K24" s="264"/>
      <c r="L24" s="264"/>
      <c r="M24" s="264"/>
      <c r="N24" s="264"/>
      <c r="O24" s="265"/>
      <c r="P24" s="265"/>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row>
    <row r="25" spans="1:46" ht="12" x14ac:dyDescent="0.2">
      <c r="A25" s="409" t="s">
        <v>118</v>
      </c>
      <c r="B25" s="436">
        <v>4.25</v>
      </c>
      <c r="C25" s="263"/>
      <c r="D25" s="263"/>
      <c r="E25" s="263"/>
      <c r="F25" s="264"/>
      <c r="G25" s="264"/>
      <c r="H25" s="264"/>
      <c r="I25" s="264"/>
      <c r="J25" s="264"/>
      <c r="K25" s="264"/>
      <c r="L25" s="264"/>
      <c r="M25" s="264"/>
      <c r="N25" s="264"/>
      <c r="O25" s="265"/>
      <c r="P25" s="265"/>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row>
    <row r="26" spans="1:46" ht="12.75" x14ac:dyDescent="0.2">
      <c r="A26" s="411" t="s">
        <v>119</v>
      </c>
      <c r="B26" s="436">
        <v>12.75</v>
      </c>
      <c r="C26" s="263"/>
      <c r="D26" s="263"/>
      <c r="E26" s="263"/>
      <c r="F26" s="264"/>
      <c r="G26" s="264"/>
      <c r="H26" s="264"/>
      <c r="I26" s="264"/>
      <c r="J26" s="264"/>
      <c r="K26" s="264"/>
      <c r="L26" s="264"/>
      <c r="M26" s="264"/>
      <c r="N26" s="264"/>
      <c r="O26" s="265"/>
      <c r="P26" s="265"/>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row>
    <row r="27" spans="1:46" ht="12.75" x14ac:dyDescent="0.2">
      <c r="A27" s="182" t="s">
        <v>120</v>
      </c>
      <c r="B27" s="271"/>
      <c r="C27" s="263"/>
      <c r="D27" s="263"/>
      <c r="E27" s="263"/>
      <c r="F27" s="264"/>
      <c r="G27" s="264"/>
      <c r="H27" s="264"/>
      <c r="I27" s="264"/>
      <c r="J27" s="264"/>
      <c r="K27" s="264"/>
      <c r="L27" s="264"/>
      <c r="M27" s="264"/>
      <c r="N27" s="264"/>
      <c r="O27" s="265"/>
      <c r="P27" s="265"/>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row>
    <row r="28" spans="1:46" ht="12" x14ac:dyDescent="0.2">
      <c r="A28" s="29" t="s">
        <v>121</v>
      </c>
      <c r="B28" s="351"/>
      <c r="C28" s="263"/>
      <c r="D28" s="263"/>
      <c r="E28" s="263"/>
      <c r="F28" s="264"/>
      <c r="G28" s="264"/>
      <c r="H28" s="264"/>
      <c r="I28" s="264"/>
      <c r="J28" s="264"/>
      <c r="K28" s="264"/>
      <c r="L28" s="264"/>
      <c r="M28" s="264"/>
      <c r="N28" s="264"/>
      <c r="O28" s="265"/>
      <c r="P28" s="265"/>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row>
    <row r="29" spans="1:46" ht="12" x14ac:dyDescent="0.2">
      <c r="A29" s="29" t="s">
        <v>122</v>
      </c>
      <c r="B29" s="351"/>
      <c r="C29" s="263"/>
      <c r="D29" s="263"/>
      <c r="E29" s="263"/>
      <c r="F29" s="264"/>
      <c r="G29" s="264"/>
      <c r="H29" s="264"/>
      <c r="I29" s="264"/>
      <c r="J29" s="264"/>
      <c r="K29" s="264"/>
      <c r="L29" s="264"/>
      <c r="M29" s="264"/>
      <c r="N29" s="264"/>
      <c r="O29" s="265"/>
      <c r="P29" s="265"/>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row>
    <row r="30" spans="1:46" ht="12.75" x14ac:dyDescent="0.2">
      <c r="A30" s="182" t="s">
        <v>134</v>
      </c>
      <c r="B30" s="275"/>
      <c r="C30" s="263"/>
      <c r="D30" s="263"/>
      <c r="E30" s="263"/>
      <c r="F30" s="264"/>
      <c r="G30" s="264"/>
      <c r="H30" s="264"/>
      <c r="I30" s="264"/>
      <c r="J30" s="264"/>
      <c r="K30" s="264"/>
      <c r="L30" s="264"/>
      <c r="M30" s="264"/>
      <c r="N30" s="264"/>
      <c r="O30" s="265"/>
      <c r="P30" s="265"/>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row>
    <row r="31" spans="1:46" s="270" customFormat="1" ht="12" x14ac:dyDescent="0.2">
      <c r="A31" s="274" t="s">
        <v>135</v>
      </c>
      <c r="B31" s="272">
        <v>0.8</v>
      </c>
      <c r="C31" s="267"/>
      <c r="D31" s="267"/>
      <c r="E31" s="267"/>
      <c r="F31" s="268"/>
      <c r="G31" s="268"/>
      <c r="H31" s="268"/>
      <c r="I31" s="268"/>
      <c r="J31" s="268"/>
      <c r="K31" s="268"/>
      <c r="L31" s="268"/>
      <c r="M31" s="268"/>
      <c r="N31" s="268"/>
      <c r="O31" s="269"/>
      <c r="P31" s="269"/>
    </row>
    <row r="32" spans="1:46" ht="12" x14ac:dyDescent="0.2">
      <c r="A32" s="274" t="s">
        <v>136</v>
      </c>
      <c r="B32" s="272">
        <v>0.8</v>
      </c>
      <c r="C32" s="263"/>
      <c r="D32" s="263"/>
      <c r="E32" s="263"/>
      <c r="F32" s="264"/>
      <c r="G32" s="264"/>
      <c r="H32" s="264"/>
      <c r="I32" s="264"/>
      <c r="J32" s="264"/>
      <c r="K32" s="264"/>
      <c r="L32" s="264"/>
      <c r="M32" s="264"/>
      <c r="N32" s="264"/>
      <c r="O32" s="265"/>
      <c r="P32" s="265"/>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row>
    <row r="33" spans="1:46" ht="12" x14ac:dyDescent="0.2">
      <c r="A33" s="274" t="s">
        <v>137</v>
      </c>
      <c r="B33" s="272">
        <v>0.75</v>
      </c>
      <c r="C33" s="263"/>
      <c r="D33" s="263"/>
      <c r="E33" s="263"/>
      <c r="F33" s="264"/>
      <c r="G33" s="264"/>
      <c r="H33" s="264"/>
      <c r="I33" s="264"/>
      <c r="J33" s="264"/>
      <c r="K33" s="264"/>
      <c r="L33" s="264"/>
      <c r="M33" s="264"/>
      <c r="N33" s="264"/>
      <c r="O33" s="265"/>
      <c r="P33" s="265"/>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row>
    <row r="34" spans="1:46" x14ac:dyDescent="0.2">
      <c r="A34" s="266"/>
      <c r="B34" s="266"/>
      <c r="C34" s="263"/>
      <c r="D34" s="263"/>
      <c r="E34" s="263"/>
      <c r="F34" s="264"/>
      <c r="G34" s="264"/>
      <c r="H34" s="264"/>
      <c r="I34" s="264"/>
      <c r="J34" s="264"/>
      <c r="K34" s="264"/>
      <c r="L34" s="264"/>
      <c r="M34" s="264"/>
      <c r="N34" s="264"/>
      <c r="O34" s="265"/>
      <c r="P34" s="265"/>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row>
    <row r="35" spans="1:46" x14ac:dyDescent="0.2">
      <c r="A35" s="266"/>
      <c r="B35" s="266"/>
      <c r="C35" s="263"/>
      <c r="D35" s="263"/>
      <c r="E35" s="263"/>
      <c r="F35" s="264"/>
      <c r="G35" s="264"/>
      <c r="H35" s="264"/>
      <c r="I35" s="264"/>
      <c r="J35" s="264"/>
      <c r="K35" s="264"/>
      <c r="L35" s="264"/>
      <c r="M35" s="264"/>
      <c r="N35" s="264"/>
      <c r="O35" s="265"/>
      <c r="P35" s="265"/>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row>
    <row r="36" spans="1:46" x14ac:dyDescent="0.2">
      <c r="A36" s="266"/>
      <c r="B36" s="266"/>
      <c r="C36" s="263"/>
      <c r="D36" s="263"/>
      <c r="E36" s="263"/>
      <c r="F36" s="264"/>
      <c r="G36" s="264"/>
      <c r="H36" s="264"/>
      <c r="I36" s="264"/>
      <c r="J36" s="264"/>
      <c r="K36" s="264"/>
      <c r="L36" s="264"/>
      <c r="M36" s="264"/>
      <c r="N36" s="264"/>
      <c r="O36" s="265"/>
      <c r="P36" s="265"/>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row>
    <row r="37" spans="1:46" x14ac:dyDescent="0.2">
      <c r="A37" s="266"/>
      <c r="B37" s="266"/>
      <c r="C37" s="263"/>
      <c r="D37" s="263"/>
      <c r="E37" s="263"/>
      <c r="F37" s="264"/>
      <c r="G37" s="264"/>
      <c r="H37" s="264"/>
      <c r="I37" s="264"/>
      <c r="J37" s="264"/>
      <c r="K37" s="264"/>
      <c r="L37" s="264"/>
      <c r="M37" s="264"/>
      <c r="N37" s="264"/>
      <c r="O37" s="265"/>
      <c r="P37" s="265"/>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row>
    <row r="38" spans="1:46" x14ac:dyDescent="0.2">
      <c r="A38" s="266"/>
      <c r="B38" s="266"/>
      <c r="C38" s="263"/>
      <c r="D38" s="263"/>
      <c r="E38" s="263"/>
      <c r="F38" s="264"/>
      <c r="G38" s="264"/>
      <c r="H38" s="264"/>
      <c r="I38" s="264"/>
      <c r="J38" s="264"/>
      <c r="K38" s="264"/>
      <c r="L38" s="264"/>
      <c r="M38" s="264"/>
      <c r="N38" s="264"/>
      <c r="O38" s="265"/>
      <c r="P38" s="265"/>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row>
    <row r="39" spans="1:46" x14ac:dyDescent="0.2">
      <c r="A39" s="266"/>
      <c r="B39" s="266"/>
      <c r="C39" s="263"/>
      <c r="D39" s="263"/>
      <c r="E39" s="263"/>
      <c r="F39" s="264"/>
      <c r="G39" s="264"/>
      <c r="H39" s="264"/>
      <c r="I39" s="264"/>
      <c r="J39" s="264"/>
      <c r="K39" s="264"/>
      <c r="L39" s="264"/>
      <c r="M39" s="264"/>
      <c r="N39" s="264"/>
      <c r="O39" s="265"/>
      <c r="P39" s="265"/>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row>
    <row r="40" spans="1:46" x14ac:dyDescent="0.2">
      <c r="A40" s="266"/>
      <c r="B40" s="266"/>
      <c r="C40" s="263"/>
      <c r="D40" s="263"/>
      <c r="E40" s="263"/>
      <c r="F40" s="264"/>
      <c r="G40" s="264"/>
      <c r="H40" s="264"/>
      <c r="I40" s="264"/>
      <c r="J40" s="264"/>
      <c r="K40" s="264"/>
      <c r="L40" s="264"/>
      <c r="M40" s="264"/>
      <c r="N40" s="264"/>
      <c r="O40" s="265"/>
      <c r="P40" s="265"/>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row>
    <row r="41" spans="1:46" x14ac:dyDescent="0.2">
      <c r="A41" s="266"/>
      <c r="B41" s="266"/>
      <c r="C41" s="263"/>
      <c r="D41" s="263"/>
      <c r="E41" s="263"/>
      <c r="F41" s="264"/>
      <c r="G41" s="264"/>
      <c r="H41" s="264"/>
      <c r="I41" s="264"/>
      <c r="J41" s="264"/>
      <c r="K41" s="264"/>
      <c r="L41" s="264"/>
      <c r="M41" s="264"/>
      <c r="N41" s="264"/>
      <c r="O41" s="265"/>
      <c r="P41" s="265"/>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row>
    <row r="42" spans="1:46" x14ac:dyDescent="0.2">
      <c r="A42" s="266"/>
      <c r="B42" s="266"/>
      <c r="C42" s="263"/>
      <c r="D42" s="263"/>
      <c r="E42" s="263"/>
      <c r="F42" s="264"/>
      <c r="G42" s="264"/>
      <c r="H42" s="264"/>
      <c r="I42" s="264"/>
      <c r="J42" s="264"/>
      <c r="K42" s="264"/>
      <c r="L42" s="264"/>
      <c r="M42" s="264"/>
      <c r="N42" s="264"/>
      <c r="O42" s="265"/>
      <c r="P42" s="265"/>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row>
  </sheetData>
  <mergeCells count="2">
    <mergeCell ref="A1:E1"/>
    <mergeCell ref="I1:J1"/>
  </mergeCells>
  <hyperlinks>
    <hyperlink ref="F1" location="Inventory!A1" display="Inventory" xr:uid="{00000000-0004-0000-0400-000000000000}"/>
  </hyperlink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33"/>
  <sheetViews>
    <sheetView showGridLines="0" zoomScaleNormal="100" zoomScaleSheetLayoutView="100" workbookViewId="0">
      <selection activeCell="H30" sqref="H30"/>
    </sheetView>
  </sheetViews>
  <sheetFormatPr defaultRowHeight="11.25" x14ac:dyDescent="0.2"/>
  <cols>
    <col min="1" max="1" width="54.7109375" style="254" bestFit="1" customWidth="1"/>
    <col min="2" max="2" width="7.42578125" style="254" customWidth="1"/>
    <col min="3" max="8" width="7.42578125" style="251" customWidth="1"/>
    <col min="9" max="13" width="5.7109375" style="251" customWidth="1"/>
    <col min="14" max="29" width="5.7109375" style="254" customWidth="1"/>
    <col min="30" max="30" width="8.42578125" style="254" bestFit="1" customWidth="1"/>
    <col min="31" max="16384" width="9.140625" style="254"/>
  </cols>
  <sheetData>
    <row r="1" spans="1:30" s="245" customFormat="1" ht="18.75" x14ac:dyDescent="0.3">
      <c r="A1" s="455" t="s">
        <v>26</v>
      </c>
      <c r="B1" s="455"/>
      <c r="C1" s="455"/>
      <c r="D1" s="455"/>
      <c r="E1" s="386" t="s">
        <v>29</v>
      </c>
      <c r="G1" s="246" t="s">
        <v>30</v>
      </c>
      <c r="H1" s="456">
        <v>44835</v>
      </c>
      <c r="I1" s="456"/>
      <c r="L1" s="387"/>
      <c r="M1" s="387"/>
      <c r="AC1" s="388" t="s">
        <v>31</v>
      </c>
      <c r="AD1" s="389">
        <v>11.04</v>
      </c>
    </row>
    <row r="2" spans="1:30" s="393" customFormat="1" ht="12" x14ac:dyDescent="0.2">
      <c r="A2" s="390"/>
      <c r="B2" s="391" t="s">
        <v>183</v>
      </c>
      <c r="C2" s="390"/>
      <c r="D2" s="390"/>
      <c r="E2" s="392"/>
      <c r="G2" s="394"/>
      <c r="H2" s="395"/>
      <c r="I2" s="395"/>
      <c r="L2" s="396"/>
      <c r="M2" s="396"/>
      <c r="AA2" s="255"/>
      <c r="AB2" s="397"/>
    </row>
    <row r="3" spans="1:30" s="393" customFormat="1" ht="12" x14ac:dyDescent="0.2">
      <c r="A3" s="255" t="s">
        <v>184</v>
      </c>
      <c r="B3" s="398" t="s">
        <v>178</v>
      </c>
      <c r="C3" s="396"/>
      <c r="D3" s="396"/>
      <c r="E3" s="396"/>
      <c r="F3" s="396"/>
      <c r="G3" s="396"/>
      <c r="H3" s="396"/>
      <c r="I3" s="396"/>
      <c r="J3" s="396"/>
      <c r="K3" s="396"/>
      <c r="L3" s="396"/>
      <c r="M3" s="396"/>
    </row>
    <row r="4" spans="1:30" s="393" customFormat="1" ht="12" x14ac:dyDescent="0.2">
      <c r="A4" s="255" t="s">
        <v>185</v>
      </c>
      <c r="B4" s="398">
        <v>5</v>
      </c>
      <c r="C4" s="396"/>
      <c r="D4" s="396"/>
      <c r="E4" s="396"/>
      <c r="F4" s="396"/>
      <c r="G4" s="396"/>
      <c r="H4" s="396"/>
      <c r="I4" s="396"/>
      <c r="J4" s="396"/>
      <c r="K4" s="396"/>
      <c r="L4" s="396"/>
      <c r="M4" s="396"/>
    </row>
    <row r="5" spans="1:30" s="393" customFormat="1" ht="12" x14ac:dyDescent="0.2">
      <c r="A5" s="255" t="s">
        <v>186</v>
      </c>
      <c r="B5" s="398">
        <v>3</v>
      </c>
      <c r="C5" s="396"/>
      <c r="D5" s="396"/>
      <c r="E5" s="396"/>
      <c r="F5" s="396"/>
      <c r="G5" s="396"/>
      <c r="H5" s="396"/>
      <c r="I5" s="396"/>
      <c r="J5" s="396"/>
      <c r="K5" s="396"/>
      <c r="L5" s="396"/>
      <c r="M5" s="396"/>
    </row>
    <row r="6" spans="1:30" s="393" customFormat="1" ht="12" x14ac:dyDescent="0.2">
      <c r="A6" s="255"/>
      <c r="B6" s="398"/>
      <c r="C6" s="396"/>
      <c r="D6" s="396"/>
      <c r="E6" s="396"/>
      <c r="F6" s="396"/>
      <c r="G6" s="396"/>
      <c r="H6" s="396"/>
      <c r="I6" s="396"/>
      <c r="J6" s="396"/>
      <c r="K6" s="396"/>
      <c r="L6" s="396"/>
      <c r="M6" s="396"/>
    </row>
    <row r="7" spans="1:30" s="393" customFormat="1" ht="12" x14ac:dyDescent="0.2">
      <c r="A7" s="255"/>
      <c r="B7" s="399"/>
      <c r="C7" s="396"/>
      <c r="D7" s="396"/>
      <c r="E7" s="396"/>
      <c r="F7" s="396"/>
      <c r="G7" s="396"/>
      <c r="H7" s="396"/>
      <c r="I7" s="396"/>
      <c r="J7" s="396"/>
      <c r="K7" s="396"/>
      <c r="L7" s="396"/>
      <c r="M7" s="396"/>
    </row>
    <row r="8" spans="1:30" s="393" customFormat="1" ht="12" x14ac:dyDescent="0.2">
      <c r="A8" s="255"/>
      <c r="B8" s="399"/>
      <c r="C8" s="396"/>
      <c r="D8" s="396"/>
      <c r="E8" s="396"/>
      <c r="F8" s="396"/>
      <c r="G8" s="396"/>
      <c r="H8" s="396"/>
      <c r="I8" s="396"/>
      <c r="J8" s="396"/>
      <c r="K8" s="396"/>
      <c r="L8" s="396"/>
      <c r="M8" s="396"/>
    </row>
    <row r="9" spans="1:30" s="393" customFormat="1" ht="12" x14ac:dyDescent="0.2">
      <c r="A9" s="255"/>
      <c r="B9" s="399"/>
      <c r="C9" s="396"/>
      <c r="D9" s="396"/>
      <c r="E9" s="396"/>
      <c r="F9" s="396"/>
      <c r="G9" s="396"/>
      <c r="H9" s="396"/>
      <c r="I9" s="396"/>
      <c r="J9" s="396"/>
      <c r="K9" s="396"/>
      <c r="L9" s="396"/>
      <c r="M9" s="396"/>
    </row>
    <row r="10" spans="1:30" ht="56.25" customHeight="1" x14ac:dyDescent="0.2">
      <c r="A10" s="400" t="s">
        <v>45</v>
      </c>
      <c r="B10" s="51" t="s">
        <v>187</v>
      </c>
      <c r="D10" s="254"/>
    </row>
    <row r="11" spans="1:30" ht="12" x14ac:dyDescent="0.2">
      <c r="A11" s="400" t="s">
        <v>53</v>
      </c>
      <c r="B11" s="258" t="s">
        <v>188</v>
      </c>
      <c r="D11" s="254"/>
    </row>
    <row r="12" spans="1:30" s="259" customFormat="1" ht="12" x14ac:dyDescent="0.2">
      <c r="A12" s="400" t="s">
        <v>82</v>
      </c>
      <c r="B12" s="49">
        <v>1</v>
      </c>
      <c r="C12" s="251"/>
      <c r="E12" s="251"/>
      <c r="F12" s="251"/>
      <c r="G12" s="251"/>
      <c r="H12" s="251"/>
      <c r="I12" s="251"/>
      <c r="J12" s="251"/>
      <c r="K12" s="251"/>
      <c r="L12" s="251"/>
      <c r="M12" s="251"/>
    </row>
    <row r="13" spans="1:30" s="259" customFormat="1" ht="12" x14ac:dyDescent="0.2">
      <c r="A13" s="400" t="s">
        <v>83</v>
      </c>
      <c r="B13" s="49" t="s">
        <v>189</v>
      </c>
      <c r="C13" s="251"/>
      <c r="E13" s="251"/>
      <c r="F13" s="251"/>
      <c r="G13" s="251"/>
      <c r="H13" s="251"/>
      <c r="I13" s="251"/>
      <c r="J13" s="251"/>
      <c r="K13" s="251"/>
      <c r="L13" s="251"/>
      <c r="M13" s="251"/>
    </row>
    <row r="14" spans="1:30" s="259" customFormat="1" ht="12.75" x14ac:dyDescent="0.2">
      <c r="A14" s="401" t="s">
        <v>104</v>
      </c>
      <c r="B14" s="49"/>
      <c r="C14" s="251"/>
      <c r="E14" s="251"/>
      <c r="F14" s="251"/>
      <c r="G14" s="251"/>
      <c r="H14" s="251"/>
      <c r="I14" s="251"/>
      <c r="J14" s="251"/>
      <c r="K14" s="251"/>
      <c r="L14" s="251"/>
      <c r="M14" s="251"/>
    </row>
    <row r="15" spans="1:30" s="259" customFormat="1" ht="12" x14ac:dyDescent="0.2">
      <c r="A15" s="400" t="s">
        <v>105</v>
      </c>
      <c r="B15" s="402">
        <v>1</v>
      </c>
      <c r="C15" s="251"/>
      <c r="E15" s="251"/>
      <c r="F15" s="251"/>
      <c r="G15" s="251"/>
      <c r="H15" s="251"/>
      <c r="I15" s="251"/>
      <c r="J15" s="251"/>
      <c r="K15" s="251"/>
      <c r="L15" s="251"/>
      <c r="M15" s="251"/>
    </row>
    <row r="16" spans="1:30" s="259" customFormat="1" ht="12" x14ac:dyDescent="0.2">
      <c r="A16" s="400" t="s">
        <v>106</v>
      </c>
      <c r="B16" s="402">
        <v>0.75</v>
      </c>
      <c r="C16" s="251"/>
      <c r="E16" s="251"/>
      <c r="F16" s="251"/>
      <c r="G16" s="251"/>
      <c r="H16" s="251"/>
      <c r="I16" s="251"/>
      <c r="J16" s="251"/>
      <c r="K16" s="251"/>
      <c r="L16" s="251"/>
      <c r="M16" s="251"/>
    </row>
    <row r="17" spans="1:13" s="259" customFormat="1" ht="12" x14ac:dyDescent="0.2">
      <c r="A17" s="403" t="s">
        <v>107</v>
      </c>
      <c r="B17" s="402">
        <v>0.25</v>
      </c>
      <c r="C17" s="251"/>
      <c r="E17" s="251"/>
      <c r="F17" s="251"/>
      <c r="G17" s="251"/>
      <c r="H17" s="251"/>
      <c r="I17" s="251"/>
      <c r="J17" s="251"/>
      <c r="K17" s="251"/>
      <c r="L17" s="251"/>
      <c r="M17" s="251"/>
    </row>
    <row r="18" spans="1:13" ht="12.75" x14ac:dyDescent="0.2">
      <c r="A18" s="401" t="s">
        <v>190</v>
      </c>
      <c r="B18" s="412" t="str">
        <f>B3</f>
        <v>F-35C</v>
      </c>
      <c r="D18" s="254"/>
    </row>
    <row r="19" spans="1:13" s="406" customFormat="1" ht="12" x14ac:dyDescent="0.2">
      <c r="A19" s="24" t="s">
        <v>108</v>
      </c>
      <c r="B19" s="404">
        <f>SUM(B4:B6)*B15</f>
        <v>8</v>
      </c>
      <c r="C19" s="405"/>
      <c r="D19" s="405"/>
      <c r="E19" s="405"/>
      <c r="F19" s="405"/>
      <c r="G19" s="405"/>
      <c r="H19" s="405"/>
      <c r="I19" s="405"/>
      <c r="J19" s="405"/>
      <c r="K19" s="405"/>
      <c r="L19" s="405"/>
      <c r="M19" s="405"/>
    </row>
    <row r="20" spans="1:13" ht="12" x14ac:dyDescent="0.2">
      <c r="A20" s="24" t="s">
        <v>109</v>
      </c>
      <c r="B20" s="404">
        <f>B19*B16</f>
        <v>6</v>
      </c>
    </row>
    <row r="21" spans="1:13" ht="12" x14ac:dyDescent="0.2">
      <c r="A21" s="47" t="s">
        <v>110</v>
      </c>
      <c r="B21" s="407">
        <f>B19*B17</f>
        <v>2</v>
      </c>
    </row>
    <row r="22" spans="1:13" ht="12" x14ac:dyDescent="0.2">
      <c r="A22" s="408" t="s">
        <v>111</v>
      </c>
      <c r="B22" s="262"/>
    </row>
    <row r="23" spans="1:13" ht="12" x14ac:dyDescent="0.2">
      <c r="A23" s="409" t="s">
        <v>112</v>
      </c>
      <c r="B23" s="410" t="s">
        <v>181</v>
      </c>
    </row>
    <row r="24" spans="1:13" ht="12" x14ac:dyDescent="0.2">
      <c r="A24" s="409" t="s">
        <v>113</v>
      </c>
      <c r="B24" s="262" t="s">
        <v>181</v>
      </c>
    </row>
    <row r="25" spans="1:13" ht="12" x14ac:dyDescent="0.2">
      <c r="A25" s="409" t="s">
        <v>114</v>
      </c>
      <c r="B25" s="262" t="s">
        <v>181</v>
      </c>
    </row>
    <row r="26" spans="1:13" ht="12" x14ac:dyDescent="0.2">
      <c r="A26" s="409" t="s">
        <v>115</v>
      </c>
      <c r="B26" s="262" t="s">
        <v>181</v>
      </c>
    </row>
    <row r="27" spans="1:13" ht="12" x14ac:dyDescent="0.2">
      <c r="A27" s="409" t="s">
        <v>116</v>
      </c>
      <c r="B27" s="262" t="s">
        <v>181</v>
      </c>
    </row>
    <row r="28" spans="1:13" ht="12" x14ac:dyDescent="0.2">
      <c r="A28" s="409" t="s">
        <v>117</v>
      </c>
      <c r="B28" s="262" t="s">
        <v>181</v>
      </c>
    </row>
    <row r="29" spans="1:13" ht="12" x14ac:dyDescent="0.2">
      <c r="A29" s="409" t="s">
        <v>118</v>
      </c>
      <c r="B29" s="262" t="s">
        <v>181</v>
      </c>
    </row>
    <row r="30" spans="1:13" ht="12.75" x14ac:dyDescent="0.2">
      <c r="A30" s="411" t="s">
        <v>119</v>
      </c>
      <c r="B30" s="262" t="s">
        <v>181</v>
      </c>
    </row>
    <row r="31" spans="1:13" ht="12.75" x14ac:dyDescent="0.2">
      <c r="A31" s="182" t="s">
        <v>120</v>
      </c>
      <c r="B31" s="271"/>
    </row>
    <row r="32" spans="1:13" ht="12" x14ac:dyDescent="0.2">
      <c r="A32" s="29" t="s">
        <v>121</v>
      </c>
      <c r="B32" s="351"/>
    </row>
    <row r="33" spans="1:2" ht="12" x14ac:dyDescent="0.2">
      <c r="A33" s="29" t="s">
        <v>122</v>
      </c>
      <c r="B33" s="351"/>
    </row>
  </sheetData>
  <mergeCells count="2">
    <mergeCell ref="A1:D1"/>
    <mergeCell ref="H1:I1"/>
  </mergeCells>
  <hyperlinks>
    <hyperlink ref="E1" location="Inventory!A1" display="Inventory" xr:uid="{00000000-0004-0000-0500-000000000000}"/>
  </hyperlinks>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2"/>
  <sheetViews>
    <sheetView showGridLines="0" workbookViewId="0">
      <selection activeCell="F2" sqref="F2:M2"/>
    </sheetView>
  </sheetViews>
  <sheetFormatPr defaultRowHeight="15" x14ac:dyDescent="0.25"/>
  <cols>
    <col min="1" max="1" width="3.140625" bestFit="1" customWidth="1"/>
    <col min="2" max="2" width="12.42578125" bestFit="1" customWidth="1"/>
    <col min="3" max="3" width="67.140625" customWidth="1"/>
    <col min="4" max="5" width="14.85546875" customWidth="1"/>
    <col min="6" max="6" width="18.140625" customWidth="1"/>
    <col min="7" max="7" width="14.85546875" customWidth="1"/>
    <col min="8" max="8" width="16.85546875" customWidth="1"/>
    <col min="9" max="10" width="14.85546875" customWidth="1"/>
    <col min="11" max="11" width="15.5703125" customWidth="1"/>
    <col min="12" max="15" width="14.85546875" customWidth="1"/>
  </cols>
  <sheetData>
    <row r="1" spans="1:15" ht="38.25" customHeight="1" x14ac:dyDescent="0.25">
      <c r="B1" s="366" t="s">
        <v>16</v>
      </c>
      <c r="N1" s="367" t="s">
        <v>30</v>
      </c>
      <c r="O1" s="368">
        <v>44835</v>
      </c>
    </row>
    <row r="2" spans="1:15" ht="45" x14ac:dyDescent="0.25">
      <c r="B2" s="369"/>
      <c r="D2" s="238" t="s">
        <v>162</v>
      </c>
      <c r="E2" s="239" t="s">
        <v>163</v>
      </c>
      <c r="F2" s="239" t="s">
        <v>168</v>
      </c>
      <c r="G2" s="239" t="s">
        <v>169</v>
      </c>
      <c r="H2" s="239" t="s">
        <v>170</v>
      </c>
      <c r="I2" s="239" t="s">
        <v>171</v>
      </c>
      <c r="J2" s="239" t="s">
        <v>172</v>
      </c>
      <c r="K2" s="243" t="s">
        <v>173</v>
      </c>
      <c r="L2" s="243" t="s">
        <v>175</v>
      </c>
      <c r="M2" s="370" t="s">
        <v>174</v>
      </c>
      <c r="N2" s="239" t="s">
        <v>121</v>
      </c>
      <c r="O2" s="239" t="s">
        <v>122</v>
      </c>
    </row>
    <row r="3" spans="1:15" s="241" customFormat="1" ht="12" x14ac:dyDescent="0.2">
      <c r="A3" s="457" t="s">
        <v>191</v>
      </c>
      <c r="B3" s="371" t="s">
        <v>192</v>
      </c>
      <c r="C3" s="371" t="s">
        <v>193</v>
      </c>
      <c r="D3" s="372" t="s">
        <v>154</v>
      </c>
      <c r="E3" s="372" t="s">
        <v>154</v>
      </c>
      <c r="F3" s="373"/>
      <c r="G3" s="373"/>
      <c r="H3" s="373"/>
      <c r="I3" s="373" t="s">
        <v>154</v>
      </c>
      <c r="J3" s="372"/>
      <c r="K3" s="374" t="s">
        <v>194</v>
      </c>
      <c r="L3" s="374" t="s">
        <v>154</v>
      </c>
      <c r="M3" s="375"/>
      <c r="N3" s="376"/>
      <c r="O3" s="372"/>
    </row>
    <row r="4" spans="1:15" s="241" customFormat="1" ht="12" x14ac:dyDescent="0.2">
      <c r="A4" s="457"/>
      <c r="B4" s="371" t="s">
        <v>195</v>
      </c>
      <c r="C4" s="371" t="s">
        <v>196</v>
      </c>
      <c r="D4" s="372" t="s">
        <v>154</v>
      </c>
      <c r="E4" s="372" t="s">
        <v>154</v>
      </c>
      <c r="F4" s="377"/>
      <c r="G4" s="377"/>
      <c r="H4" s="377"/>
      <c r="I4" s="377"/>
      <c r="J4" s="372" t="s">
        <v>154</v>
      </c>
      <c r="K4" s="374"/>
      <c r="L4" s="374" t="s">
        <v>154</v>
      </c>
      <c r="M4" s="378"/>
      <c r="N4" s="372"/>
      <c r="O4" s="372"/>
    </row>
    <row r="5" spans="1:15" s="241" customFormat="1" ht="12" x14ac:dyDescent="0.2">
      <c r="A5" s="457"/>
      <c r="B5" s="371" t="s">
        <v>197</v>
      </c>
      <c r="C5" s="371" t="s">
        <v>198</v>
      </c>
      <c r="D5" s="372" t="s">
        <v>154</v>
      </c>
      <c r="E5" s="372" t="s">
        <v>154</v>
      </c>
      <c r="F5" s="377"/>
      <c r="G5" s="377"/>
      <c r="H5" s="377"/>
      <c r="I5" s="377"/>
      <c r="J5" s="372" t="s">
        <v>154</v>
      </c>
      <c r="K5" s="374"/>
      <c r="L5" s="374" t="s">
        <v>154</v>
      </c>
      <c r="M5" s="378"/>
      <c r="N5" s="372" t="s">
        <v>154</v>
      </c>
      <c r="O5" s="372" t="s">
        <v>154</v>
      </c>
    </row>
    <row r="6" spans="1:15" s="241" customFormat="1" ht="12" x14ac:dyDescent="0.2">
      <c r="A6" s="457"/>
      <c r="B6" s="371" t="s">
        <v>199</v>
      </c>
      <c r="C6" s="371" t="s">
        <v>200</v>
      </c>
      <c r="D6" s="372" t="s">
        <v>154</v>
      </c>
      <c r="E6" s="372" t="s">
        <v>154</v>
      </c>
      <c r="F6" s="377"/>
      <c r="G6" s="377"/>
      <c r="H6" s="377"/>
      <c r="I6" s="377"/>
      <c r="J6" s="372" t="s">
        <v>154</v>
      </c>
      <c r="K6" s="374"/>
      <c r="L6" s="374" t="s">
        <v>154</v>
      </c>
      <c r="M6" s="378"/>
      <c r="N6" s="372" t="s">
        <v>154</v>
      </c>
      <c r="O6" s="372" t="s">
        <v>154</v>
      </c>
    </row>
    <row r="7" spans="1:15" s="241" customFormat="1" ht="12" x14ac:dyDescent="0.2">
      <c r="A7" s="457"/>
      <c r="B7" s="371" t="s">
        <v>201</v>
      </c>
      <c r="C7" s="371" t="s">
        <v>202</v>
      </c>
      <c r="D7" s="372" t="s">
        <v>154</v>
      </c>
      <c r="E7" s="372" t="s">
        <v>154</v>
      </c>
      <c r="F7" s="377"/>
      <c r="G7" s="377" t="s">
        <v>154</v>
      </c>
      <c r="H7" s="377"/>
      <c r="I7" s="377"/>
      <c r="J7" s="372" t="s">
        <v>154</v>
      </c>
      <c r="K7" s="374"/>
      <c r="L7" s="374" t="s">
        <v>154</v>
      </c>
      <c r="M7" s="378"/>
      <c r="N7" s="372"/>
      <c r="O7" s="372"/>
    </row>
    <row r="8" spans="1:15" s="241" customFormat="1" ht="12" x14ac:dyDescent="0.2">
      <c r="A8" s="457"/>
      <c r="B8" s="371" t="s">
        <v>203</v>
      </c>
      <c r="C8" s="371" t="s">
        <v>204</v>
      </c>
      <c r="D8" s="372" t="s">
        <v>154</v>
      </c>
      <c r="E8" s="372" t="s">
        <v>154</v>
      </c>
      <c r="F8" s="377" t="s">
        <v>154</v>
      </c>
      <c r="G8" s="377"/>
      <c r="H8" s="377"/>
      <c r="I8" s="377"/>
      <c r="J8" s="372" t="s">
        <v>154</v>
      </c>
      <c r="K8" s="374"/>
      <c r="L8" s="374" t="s">
        <v>154</v>
      </c>
      <c r="M8" s="378"/>
      <c r="N8" s="372"/>
      <c r="O8" s="372"/>
    </row>
    <row r="9" spans="1:15" s="241" customFormat="1" ht="12" x14ac:dyDescent="0.2">
      <c r="A9" s="457"/>
      <c r="B9" s="371" t="s">
        <v>205</v>
      </c>
      <c r="C9" s="379" t="s">
        <v>206</v>
      </c>
      <c r="D9" s="372" t="s">
        <v>154</v>
      </c>
      <c r="E9" s="372" t="s">
        <v>154</v>
      </c>
      <c r="F9" s="377"/>
      <c r="G9" s="377"/>
      <c r="H9" s="377"/>
      <c r="I9" s="377"/>
      <c r="J9" s="372" t="s">
        <v>154</v>
      </c>
      <c r="K9" s="374"/>
      <c r="L9" s="374" t="s">
        <v>154</v>
      </c>
      <c r="M9" s="378"/>
      <c r="N9" s="376"/>
      <c r="O9" s="372"/>
    </row>
    <row r="10" spans="1:15" s="241" customFormat="1" ht="12" x14ac:dyDescent="0.2">
      <c r="A10" s="457"/>
      <c r="B10" s="371" t="s">
        <v>207</v>
      </c>
      <c r="C10" s="379" t="s">
        <v>208</v>
      </c>
      <c r="D10" s="372" t="s">
        <v>154</v>
      </c>
      <c r="E10" s="372" t="s">
        <v>154</v>
      </c>
      <c r="F10" s="377"/>
      <c r="G10" s="377" t="s">
        <v>154</v>
      </c>
      <c r="H10" s="377"/>
      <c r="I10" s="377"/>
      <c r="J10" s="372" t="s">
        <v>154</v>
      </c>
      <c r="K10" s="374"/>
      <c r="L10" s="374" t="s">
        <v>154</v>
      </c>
      <c r="M10" s="378"/>
      <c r="N10" s="372"/>
      <c r="O10" s="372"/>
    </row>
    <row r="11" spans="1:15" s="241" customFormat="1" ht="12" x14ac:dyDescent="0.2">
      <c r="A11" s="457"/>
      <c r="B11" s="380" t="s">
        <v>209</v>
      </c>
      <c r="C11" s="380" t="s">
        <v>210</v>
      </c>
      <c r="D11" s="381" t="s">
        <v>154</v>
      </c>
      <c r="E11" s="381" t="s">
        <v>154</v>
      </c>
      <c r="F11" s="382"/>
      <c r="G11" s="382"/>
      <c r="H11" s="382"/>
      <c r="I11" s="383"/>
      <c r="J11" s="384" t="s">
        <v>154</v>
      </c>
      <c r="K11" s="374"/>
      <c r="L11" s="374" t="s">
        <v>154</v>
      </c>
      <c r="M11" s="378"/>
      <c r="N11" s="384" t="s">
        <v>154</v>
      </c>
      <c r="O11" s="384" t="s">
        <v>154</v>
      </c>
    </row>
    <row r="12" spans="1:15" s="241" customFormat="1" ht="12" x14ac:dyDescent="0.2">
      <c r="A12" s="457"/>
      <c r="B12" s="380" t="s">
        <v>211</v>
      </c>
      <c r="C12" s="380" t="s">
        <v>212</v>
      </c>
      <c r="D12" s="381" t="s">
        <v>154</v>
      </c>
      <c r="E12" s="381" t="s">
        <v>154</v>
      </c>
      <c r="F12" s="382"/>
      <c r="G12" s="382"/>
      <c r="H12" s="382"/>
      <c r="I12" s="383"/>
      <c r="J12" s="384" t="s">
        <v>154</v>
      </c>
      <c r="K12" s="374"/>
      <c r="L12" s="374" t="s">
        <v>154</v>
      </c>
      <c r="M12" s="378"/>
      <c r="N12" s="384"/>
      <c r="O12" s="384"/>
    </row>
    <row r="13" spans="1:15" s="241" customFormat="1" ht="12" x14ac:dyDescent="0.2">
      <c r="A13" s="457"/>
      <c r="B13" s="380" t="s">
        <v>213</v>
      </c>
      <c r="C13" s="380" t="s">
        <v>214</v>
      </c>
      <c r="D13" s="381" t="s">
        <v>154</v>
      </c>
      <c r="E13" s="381" t="s">
        <v>154</v>
      </c>
      <c r="F13" s="382"/>
      <c r="G13" s="382"/>
      <c r="H13" s="382"/>
      <c r="I13" s="383"/>
      <c r="J13" s="384" t="s">
        <v>154</v>
      </c>
      <c r="K13" s="374"/>
      <c r="L13" s="374" t="s">
        <v>154</v>
      </c>
      <c r="M13" s="378"/>
      <c r="N13" s="384"/>
      <c r="O13" s="384"/>
    </row>
    <row r="18" spans="2:3" s="240" customFormat="1" ht="12.75" x14ac:dyDescent="0.2">
      <c r="B18" s="242" t="s">
        <v>215</v>
      </c>
      <c r="C18" s="240" t="s">
        <v>216</v>
      </c>
    </row>
    <row r="19" spans="2:3" s="240" customFormat="1" ht="12.75" x14ac:dyDescent="0.2"/>
    <row r="20" spans="2:3" s="240" customFormat="1" ht="12.75" x14ac:dyDescent="0.2"/>
    <row r="21" spans="2:3" s="240" customFormat="1" ht="12.75" x14ac:dyDescent="0.2"/>
    <row r="22" spans="2:3" s="240" customFormat="1" ht="12.75" x14ac:dyDescent="0.2"/>
  </sheetData>
  <mergeCells count="1">
    <mergeCell ref="A3:A1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5"/>
  <sheetViews>
    <sheetView showGridLines="0" workbookViewId="0">
      <selection activeCell="C1" sqref="C1"/>
    </sheetView>
  </sheetViews>
  <sheetFormatPr defaultColWidth="9.140625" defaultRowHeight="15" x14ac:dyDescent="0.25"/>
  <cols>
    <col min="1" max="1" width="9.140625" style="415"/>
    <col min="2" max="2" width="12.42578125" style="415" bestFit="1" customWidth="1"/>
    <col min="3" max="3" width="76.5703125" style="415" bestFit="1" customWidth="1"/>
    <col min="4" max="11" width="5.7109375" style="415" customWidth="1"/>
    <col min="12" max="12" width="5.7109375" customWidth="1"/>
    <col min="13" max="13" width="5.7109375" style="415" customWidth="1"/>
    <col min="14" max="16384" width="9.140625" style="415"/>
  </cols>
  <sheetData>
    <row r="1" spans="1:13" ht="15.75" x14ac:dyDescent="0.25">
      <c r="A1" s="367" t="s">
        <v>30</v>
      </c>
      <c r="B1" s="368">
        <v>43952</v>
      </c>
      <c r="C1" s="414" t="s">
        <v>29</v>
      </c>
      <c r="D1" s="458" t="s">
        <v>217</v>
      </c>
      <c r="E1" s="458"/>
      <c r="F1" s="458"/>
      <c r="G1" s="458"/>
      <c r="H1" s="458"/>
      <c r="I1" s="458"/>
      <c r="J1" s="458"/>
      <c r="K1" s="458"/>
      <c r="L1" s="458"/>
      <c r="M1" s="458"/>
    </row>
    <row r="2" spans="1:13" s="416" customFormat="1" ht="242.25" thickBot="1" x14ac:dyDescent="0.3">
      <c r="B2" s="417"/>
      <c r="C2" s="418" t="s">
        <v>218</v>
      </c>
      <c r="D2" s="419" t="s">
        <v>162</v>
      </c>
      <c r="E2" s="420" t="s">
        <v>163</v>
      </c>
      <c r="F2" s="419" t="s">
        <v>219</v>
      </c>
      <c r="G2" s="420" t="s">
        <v>220</v>
      </c>
      <c r="H2" s="419" t="s">
        <v>221</v>
      </c>
      <c r="I2" s="420" t="s">
        <v>222</v>
      </c>
      <c r="J2" s="419" t="s">
        <v>223</v>
      </c>
      <c r="K2" s="420" t="s">
        <v>175</v>
      </c>
      <c r="L2" s="419" t="s">
        <v>121</v>
      </c>
      <c r="M2" s="420" t="s">
        <v>122</v>
      </c>
    </row>
    <row r="3" spans="1:13" s="425" customFormat="1" ht="17.45" customHeight="1" x14ac:dyDescent="0.2">
      <c r="A3" s="459" t="s">
        <v>224</v>
      </c>
      <c r="B3" s="421" t="s">
        <v>192</v>
      </c>
      <c r="C3" s="422" t="s">
        <v>193</v>
      </c>
      <c r="D3" s="423" t="s">
        <v>154</v>
      </c>
      <c r="E3" s="423" t="s">
        <v>154</v>
      </c>
      <c r="F3" s="423"/>
      <c r="G3" s="423"/>
      <c r="H3" s="423"/>
      <c r="I3" s="423" t="s">
        <v>225</v>
      </c>
      <c r="J3" s="423" t="s">
        <v>194</v>
      </c>
      <c r="K3" s="423" t="s">
        <v>154</v>
      </c>
      <c r="L3" s="423"/>
      <c r="M3" s="424"/>
    </row>
    <row r="4" spans="1:13" s="425" customFormat="1" ht="17.45" customHeight="1" x14ac:dyDescent="0.2">
      <c r="A4" s="460"/>
      <c r="B4" s="426" t="s">
        <v>195</v>
      </c>
      <c r="C4" s="427" t="s">
        <v>196</v>
      </c>
      <c r="D4" s="428" t="s">
        <v>154</v>
      </c>
      <c r="E4" s="428" t="s">
        <v>154</v>
      </c>
      <c r="F4" s="428"/>
      <c r="G4" s="428"/>
      <c r="H4" s="428"/>
      <c r="I4" s="428" t="s">
        <v>154</v>
      </c>
      <c r="J4" s="428"/>
      <c r="K4" s="428" t="s">
        <v>154</v>
      </c>
      <c r="L4" s="428"/>
      <c r="M4" s="429"/>
    </row>
    <row r="5" spans="1:13" s="425" customFormat="1" ht="17.45" customHeight="1" x14ac:dyDescent="0.2">
      <c r="A5" s="460"/>
      <c r="B5" s="426" t="s">
        <v>197</v>
      </c>
      <c r="C5" s="427" t="s">
        <v>198</v>
      </c>
      <c r="D5" s="428" t="s">
        <v>154</v>
      </c>
      <c r="E5" s="428" t="s">
        <v>154</v>
      </c>
      <c r="F5" s="428"/>
      <c r="G5" s="428"/>
      <c r="H5" s="428"/>
      <c r="I5" s="428" t="s">
        <v>154</v>
      </c>
      <c r="J5" s="428"/>
      <c r="K5" s="428" t="s">
        <v>154</v>
      </c>
      <c r="L5" s="428" t="s">
        <v>154</v>
      </c>
      <c r="M5" s="429" t="s">
        <v>154</v>
      </c>
    </row>
    <row r="6" spans="1:13" s="425" customFormat="1" ht="17.45" customHeight="1" x14ac:dyDescent="0.2">
      <c r="A6" s="460"/>
      <c r="B6" s="426" t="s">
        <v>199</v>
      </c>
      <c r="C6" s="427" t="s">
        <v>200</v>
      </c>
      <c r="D6" s="428" t="s">
        <v>154</v>
      </c>
      <c r="E6" s="428" t="s">
        <v>154</v>
      </c>
      <c r="F6" s="428"/>
      <c r="G6" s="428"/>
      <c r="H6" s="428"/>
      <c r="I6" s="428" t="s">
        <v>154</v>
      </c>
      <c r="J6" s="428"/>
      <c r="K6" s="428" t="s">
        <v>154</v>
      </c>
      <c r="L6" s="428" t="s">
        <v>154</v>
      </c>
      <c r="M6" s="429" t="s">
        <v>154</v>
      </c>
    </row>
    <row r="7" spans="1:13" s="425" customFormat="1" ht="17.45" customHeight="1" x14ac:dyDescent="0.2">
      <c r="A7" s="460"/>
      <c r="B7" s="426" t="s">
        <v>201</v>
      </c>
      <c r="C7" s="427" t="s">
        <v>202</v>
      </c>
      <c r="D7" s="428" t="s">
        <v>154</v>
      </c>
      <c r="E7" s="428" t="s">
        <v>154</v>
      </c>
      <c r="F7" s="428"/>
      <c r="G7" s="428" t="s">
        <v>154</v>
      </c>
      <c r="H7" s="428"/>
      <c r="I7" s="428" t="s">
        <v>154</v>
      </c>
      <c r="J7" s="428"/>
      <c r="K7" s="428" t="s">
        <v>154</v>
      </c>
      <c r="L7" s="428"/>
      <c r="M7" s="429"/>
    </row>
    <row r="8" spans="1:13" s="425" customFormat="1" ht="17.45" customHeight="1" x14ac:dyDescent="0.2">
      <c r="A8" s="460"/>
      <c r="B8" s="426" t="s">
        <v>203</v>
      </c>
      <c r="C8" s="427" t="s">
        <v>204</v>
      </c>
      <c r="D8" s="428" t="s">
        <v>154</v>
      </c>
      <c r="E8" s="428" t="s">
        <v>154</v>
      </c>
      <c r="F8" s="428"/>
      <c r="G8" s="428"/>
      <c r="H8" s="428"/>
      <c r="I8" s="428" t="s">
        <v>154</v>
      </c>
      <c r="J8" s="428"/>
      <c r="K8" s="428" t="s">
        <v>154</v>
      </c>
      <c r="L8" s="428"/>
      <c r="M8" s="429"/>
    </row>
    <row r="9" spans="1:13" s="425" customFormat="1" ht="17.45" customHeight="1" x14ac:dyDescent="0.2">
      <c r="A9" s="460"/>
      <c r="B9" s="426" t="s">
        <v>205</v>
      </c>
      <c r="C9" s="427" t="s">
        <v>206</v>
      </c>
      <c r="D9" s="428" t="s">
        <v>154</v>
      </c>
      <c r="E9" s="428" t="s">
        <v>154</v>
      </c>
      <c r="F9" s="428"/>
      <c r="G9" s="428"/>
      <c r="H9" s="428"/>
      <c r="I9" s="428" t="s">
        <v>154</v>
      </c>
      <c r="J9" s="428"/>
      <c r="K9" s="428" t="s">
        <v>154</v>
      </c>
      <c r="L9" s="428"/>
      <c r="M9" s="429"/>
    </row>
    <row r="10" spans="1:13" s="425" customFormat="1" ht="17.45" customHeight="1" x14ac:dyDescent="0.2">
      <c r="A10" s="460"/>
      <c r="B10" s="426" t="s">
        <v>207</v>
      </c>
      <c r="C10" s="427" t="s">
        <v>208</v>
      </c>
      <c r="D10" s="428" t="s">
        <v>154</v>
      </c>
      <c r="E10" s="428" t="s">
        <v>154</v>
      </c>
      <c r="F10" s="428"/>
      <c r="G10" s="428" t="s">
        <v>154</v>
      </c>
      <c r="H10" s="428"/>
      <c r="I10" s="428" t="s">
        <v>154</v>
      </c>
      <c r="J10" s="428"/>
      <c r="K10" s="428" t="s">
        <v>154</v>
      </c>
      <c r="L10" s="428"/>
      <c r="M10" s="429"/>
    </row>
    <row r="11" spans="1:13" s="425" customFormat="1" ht="17.45" customHeight="1" x14ac:dyDescent="0.2">
      <c r="A11" s="460"/>
      <c r="B11" s="426" t="s">
        <v>209</v>
      </c>
      <c r="C11" s="427" t="s">
        <v>210</v>
      </c>
      <c r="D11" s="428" t="s">
        <v>154</v>
      </c>
      <c r="E11" s="428" t="s">
        <v>154</v>
      </c>
      <c r="F11" s="428"/>
      <c r="G11" s="428"/>
      <c r="H11" s="428" t="s">
        <v>154</v>
      </c>
      <c r="I11" s="428" t="s">
        <v>154</v>
      </c>
      <c r="J11" s="428"/>
      <c r="K11" s="428" t="s">
        <v>154</v>
      </c>
      <c r="L11" s="428" t="s">
        <v>154</v>
      </c>
      <c r="M11" s="429" t="s">
        <v>154</v>
      </c>
    </row>
    <row r="12" spans="1:13" s="425" customFormat="1" ht="17.45" customHeight="1" x14ac:dyDescent="0.2">
      <c r="A12" s="460"/>
      <c r="B12" s="426" t="s">
        <v>211</v>
      </c>
      <c r="C12" s="434" t="s">
        <v>212</v>
      </c>
      <c r="D12" s="428" t="s">
        <v>154</v>
      </c>
      <c r="E12" s="428" t="s">
        <v>154</v>
      </c>
      <c r="F12" s="428"/>
      <c r="G12" s="428"/>
      <c r="H12" s="428" t="s">
        <v>154</v>
      </c>
      <c r="I12" s="428" t="s">
        <v>154</v>
      </c>
      <c r="J12" s="428"/>
      <c r="K12" s="428" t="s">
        <v>154</v>
      </c>
      <c r="L12" s="428"/>
      <c r="M12" s="429"/>
    </row>
    <row r="13" spans="1:13" s="425" customFormat="1" ht="17.45" customHeight="1" thickBot="1" x14ac:dyDescent="0.25">
      <c r="A13" s="461"/>
      <c r="B13" s="431" t="s">
        <v>213</v>
      </c>
      <c r="C13" s="432" t="s">
        <v>214</v>
      </c>
      <c r="D13" s="433" t="s">
        <v>154</v>
      </c>
      <c r="E13" s="433" t="s">
        <v>154</v>
      </c>
      <c r="F13" s="433"/>
      <c r="G13" s="433"/>
      <c r="H13" s="433"/>
      <c r="I13" s="433" t="s">
        <v>154</v>
      </c>
      <c r="J13" s="433"/>
      <c r="K13" s="433" t="s">
        <v>154</v>
      </c>
      <c r="L13" s="433"/>
      <c r="M13" s="435"/>
    </row>
    <row r="14" spans="1:13" ht="11.25" x14ac:dyDescent="0.2">
      <c r="L14" s="415"/>
    </row>
    <row r="15" spans="1:13" ht="11.25" x14ac:dyDescent="0.2">
      <c r="L15" s="415"/>
    </row>
    <row r="16" spans="1:13" ht="11.25" x14ac:dyDescent="0.2">
      <c r="L16" s="415"/>
    </row>
    <row r="17" spans="2:12" ht="11.25" x14ac:dyDescent="0.2">
      <c r="L17" s="415"/>
    </row>
    <row r="18" spans="2:12" ht="11.25" x14ac:dyDescent="0.2">
      <c r="B18" s="415" t="s">
        <v>215</v>
      </c>
      <c r="C18" s="430" t="s">
        <v>216</v>
      </c>
      <c r="L18" s="415"/>
    </row>
    <row r="19" spans="2:12" ht="11.25" x14ac:dyDescent="0.2">
      <c r="C19" s="430" t="s">
        <v>226</v>
      </c>
      <c r="L19" s="415"/>
    </row>
    <row r="20" spans="2:12" ht="11.25" x14ac:dyDescent="0.2">
      <c r="C20" s="430"/>
      <c r="L20" s="415"/>
    </row>
    <row r="21" spans="2:12" ht="11.25" x14ac:dyDescent="0.2">
      <c r="C21" s="430" t="s">
        <v>227</v>
      </c>
      <c r="L21" s="415"/>
    </row>
    <row r="22" spans="2:12" ht="11.25" x14ac:dyDescent="0.2">
      <c r="C22" s="430"/>
      <c r="L22" s="415"/>
    </row>
    <row r="23" spans="2:12" ht="11.25" x14ac:dyDescent="0.2">
      <c r="C23" s="430"/>
      <c r="L23" s="415"/>
    </row>
    <row r="24" spans="2:12" ht="11.25" x14ac:dyDescent="0.2">
      <c r="C24" s="430"/>
      <c r="L24" s="415"/>
    </row>
    <row r="25" spans="2:12" ht="11.25" x14ac:dyDescent="0.2">
      <c r="C25" s="430"/>
      <c r="L25" s="415"/>
    </row>
    <row r="26" spans="2:12" ht="11.25" x14ac:dyDescent="0.2">
      <c r="C26" s="430"/>
      <c r="L26" s="415"/>
    </row>
    <row r="27" spans="2:12" ht="11.25" x14ac:dyDescent="0.2">
      <c r="B27" s="430"/>
      <c r="C27" s="430"/>
      <c r="L27" s="415"/>
    </row>
    <row r="28" spans="2:12" ht="11.25" x14ac:dyDescent="0.2">
      <c r="B28" s="430"/>
      <c r="C28" s="430"/>
      <c r="L28" s="415"/>
    </row>
    <row r="29" spans="2:12" ht="11.25" x14ac:dyDescent="0.2">
      <c r="B29" s="430"/>
      <c r="C29" s="430"/>
      <c r="L29" s="415"/>
    </row>
    <row r="30" spans="2:12" ht="11.25" x14ac:dyDescent="0.2">
      <c r="B30" s="430"/>
      <c r="C30" s="430"/>
      <c r="L30" s="415"/>
    </row>
    <row r="31" spans="2:12" ht="11.25" x14ac:dyDescent="0.2">
      <c r="B31" s="430"/>
      <c r="C31" s="430"/>
      <c r="L31" s="415"/>
    </row>
    <row r="32" spans="2:12" ht="11.25" x14ac:dyDescent="0.2">
      <c r="B32" s="430"/>
      <c r="C32" s="430"/>
      <c r="L32" s="415"/>
    </row>
    <row r="33" spans="2:12" ht="11.25" x14ac:dyDescent="0.2">
      <c r="B33" s="430"/>
      <c r="C33" s="430"/>
      <c r="L33" s="415"/>
    </row>
    <row r="34" spans="2:12" ht="11.25" x14ac:dyDescent="0.2">
      <c r="B34" s="430"/>
      <c r="C34" s="430"/>
      <c r="L34" s="415"/>
    </row>
    <row r="35" spans="2:12" x14ac:dyDescent="0.25">
      <c r="B35" s="430"/>
      <c r="C35" s="430"/>
    </row>
    <row r="36" spans="2:12" x14ac:dyDescent="0.25">
      <c r="B36" s="430"/>
      <c r="C36" s="430"/>
    </row>
    <row r="37" spans="2:12" x14ac:dyDescent="0.25">
      <c r="B37" s="430"/>
      <c r="C37" s="430"/>
    </row>
    <row r="38" spans="2:12" x14ac:dyDescent="0.25">
      <c r="B38" s="430"/>
      <c r="C38" s="430"/>
    </row>
    <row r="39" spans="2:12" x14ac:dyDescent="0.25">
      <c r="B39" s="430"/>
      <c r="C39" s="430"/>
    </row>
    <row r="40" spans="2:12" x14ac:dyDescent="0.25">
      <c r="B40" s="430"/>
      <c r="C40" s="430"/>
    </row>
    <row r="41" spans="2:12" x14ac:dyDescent="0.25">
      <c r="B41" s="430"/>
      <c r="C41" s="430"/>
    </row>
    <row r="42" spans="2:12" x14ac:dyDescent="0.25">
      <c r="B42" s="430"/>
      <c r="C42" s="430"/>
    </row>
    <row r="43" spans="2:12" x14ac:dyDescent="0.25">
      <c r="B43" s="430"/>
      <c r="C43" s="430"/>
    </row>
    <row r="44" spans="2:12" x14ac:dyDescent="0.25">
      <c r="B44" s="430"/>
      <c r="C44" s="430"/>
    </row>
    <row r="45" spans="2:12" x14ac:dyDescent="0.25">
      <c r="B45" s="430"/>
      <c r="C45" s="430"/>
    </row>
    <row r="46" spans="2:12" x14ac:dyDescent="0.25">
      <c r="B46" s="430"/>
      <c r="C46" s="430"/>
    </row>
    <row r="47" spans="2:12" x14ac:dyDescent="0.25">
      <c r="B47" s="430"/>
      <c r="C47" s="430"/>
    </row>
    <row r="48" spans="2:12" x14ac:dyDescent="0.25">
      <c r="B48" s="430"/>
      <c r="C48" s="430"/>
    </row>
    <row r="49" spans="2:3" x14ac:dyDescent="0.25">
      <c r="B49" s="430"/>
      <c r="C49" s="430"/>
    </row>
    <row r="50" spans="2:3" x14ac:dyDescent="0.25">
      <c r="B50" s="430"/>
      <c r="C50" s="430"/>
    </row>
    <row r="51" spans="2:3" x14ac:dyDescent="0.25">
      <c r="B51" s="430"/>
      <c r="C51" s="430"/>
    </row>
    <row r="52" spans="2:3" x14ac:dyDescent="0.25">
      <c r="B52" s="430"/>
      <c r="C52" s="430"/>
    </row>
    <row r="53" spans="2:3" x14ac:dyDescent="0.25">
      <c r="B53" s="430"/>
      <c r="C53" s="430"/>
    </row>
    <row r="54" spans="2:3" x14ac:dyDescent="0.25">
      <c r="B54" s="430"/>
      <c r="C54" s="430"/>
    </row>
    <row r="55" spans="2:3" x14ac:dyDescent="0.25">
      <c r="B55" s="430"/>
      <c r="C55" s="430"/>
    </row>
    <row r="56" spans="2:3" x14ac:dyDescent="0.25">
      <c r="B56" s="430"/>
      <c r="C56" s="430"/>
    </row>
    <row r="57" spans="2:3" x14ac:dyDescent="0.25">
      <c r="B57" s="430"/>
      <c r="C57" s="430"/>
    </row>
    <row r="58" spans="2:3" x14ac:dyDescent="0.25">
      <c r="B58" s="430"/>
      <c r="C58" s="430"/>
    </row>
    <row r="59" spans="2:3" x14ac:dyDescent="0.25">
      <c r="B59" s="430"/>
      <c r="C59" s="430"/>
    </row>
    <row r="60" spans="2:3" x14ac:dyDescent="0.25">
      <c r="B60" s="430"/>
      <c r="C60" s="430"/>
    </row>
    <row r="61" spans="2:3" x14ac:dyDescent="0.25">
      <c r="B61" s="430"/>
      <c r="C61" s="430"/>
    </row>
    <row r="62" spans="2:3" x14ac:dyDescent="0.25">
      <c r="B62" s="430"/>
      <c r="C62" s="430"/>
    </row>
    <row r="63" spans="2:3" x14ac:dyDescent="0.25">
      <c r="B63" s="430"/>
      <c r="C63" s="430"/>
    </row>
    <row r="64" spans="2:3" x14ac:dyDescent="0.25">
      <c r="B64" s="430"/>
      <c r="C64" s="430"/>
    </row>
    <row r="65" spans="2:3" x14ac:dyDescent="0.25">
      <c r="B65" s="430"/>
      <c r="C65" s="430"/>
    </row>
  </sheetData>
  <mergeCells count="2">
    <mergeCell ref="D1:M1"/>
    <mergeCell ref="A3:A13"/>
  </mergeCells>
  <conditionalFormatting sqref="D3:M12">
    <cfRule type="cellIs" dxfId="3" priority="2" operator="equal">
      <formula>""</formula>
    </cfRule>
  </conditionalFormatting>
  <conditionalFormatting sqref="D13:M13">
    <cfRule type="cellIs" dxfId="2" priority="1" operator="equal">
      <formula>""</formula>
    </cfRule>
  </conditionalFormatting>
  <hyperlinks>
    <hyperlink ref="C1" location="Inventory!A1" display="Inventory" xr:uid="{00000000-0004-0000-0700-000000000000}"/>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9"/>
  <sheetViews>
    <sheetView showGridLines="0" workbookViewId="0">
      <selection activeCell="A3" sqref="A3"/>
    </sheetView>
  </sheetViews>
  <sheetFormatPr defaultRowHeight="15" x14ac:dyDescent="0.25"/>
  <cols>
    <col min="1" max="1" width="48.28515625" bestFit="1" customWidth="1"/>
    <col min="2" max="3" width="22.140625" bestFit="1" customWidth="1"/>
    <col min="10" max="10" width="12.140625" bestFit="1" customWidth="1"/>
  </cols>
  <sheetData>
    <row r="1" spans="1:10" ht="15.75" x14ac:dyDescent="0.25">
      <c r="A1" s="353" t="s">
        <v>228</v>
      </c>
      <c r="B1" s="353" t="s">
        <v>165</v>
      </c>
      <c r="C1" s="353" t="s">
        <v>176</v>
      </c>
      <c r="H1" s="362" t="s">
        <v>29</v>
      </c>
      <c r="J1" s="199">
        <v>44825</v>
      </c>
    </row>
    <row r="2" spans="1:10" x14ac:dyDescent="0.25">
      <c r="A2" s="352" t="s">
        <v>166</v>
      </c>
      <c r="B2" s="354">
        <v>0.33</v>
      </c>
      <c r="C2" s="354">
        <v>0.33</v>
      </c>
    </row>
    <row r="3" spans="1:10" x14ac:dyDescent="0.25">
      <c r="A3" s="352" t="s">
        <v>229</v>
      </c>
      <c r="B3" s="354">
        <v>0.33</v>
      </c>
      <c r="C3" s="354">
        <v>0.33</v>
      </c>
    </row>
    <row r="4" spans="1:10" x14ac:dyDescent="0.25">
      <c r="A4" s="352" t="s">
        <v>230</v>
      </c>
      <c r="B4" s="354">
        <v>0.33</v>
      </c>
      <c r="C4" s="354">
        <v>0.33</v>
      </c>
    </row>
    <row r="5" spans="1:10" x14ac:dyDescent="0.25">
      <c r="A5" s="352" t="s">
        <v>231</v>
      </c>
      <c r="B5" s="354">
        <v>0.33</v>
      </c>
      <c r="C5" s="354">
        <v>0.33</v>
      </c>
    </row>
    <row r="6" spans="1:10" x14ac:dyDescent="0.25">
      <c r="A6" s="352" t="s">
        <v>232</v>
      </c>
      <c r="B6" s="354">
        <v>0.33</v>
      </c>
      <c r="C6" s="354">
        <v>0.33</v>
      </c>
    </row>
    <row r="7" spans="1:10" x14ac:dyDescent="0.25">
      <c r="A7" s="352" t="s">
        <v>233</v>
      </c>
      <c r="B7" s="354">
        <v>0.33</v>
      </c>
      <c r="C7" s="354">
        <v>0.33</v>
      </c>
    </row>
    <row r="8" spans="1:10" x14ac:dyDescent="0.25">
      <c r="A8" s="352" t="s">
        <v>119</v>
      </c>
      <c r="B8" s="354">
        <v>1</v>
      </c>
      <c r="C8" s="354">
        <v>1</v>
      </c>
    </row>
    <row r="17" spans="1:1" ht="15.75" x14ac:dyDescent="0.25">
      <c r="A17" s="353" t="s">
        <v>234</v>
      </c>
    </row>
    <row r="18" spans="1:1" x14ac:dyDescent="0.25">
      <c r="A18" s="355" t="s">
        <v>165</v>
      </c>
    </row>
    <row r="19" spans="1:1" x14ac:dyDescent="0.25">
      <c r="A19" s="355" t="s">
        <v>176</v>
      </c>
    </row>
  </sheetData>
  <conditionalFormatting sqref="B3:C8">
    <cfRule type="cellIs" dxfId="1" priority="2" operator="between">
      <formula>0.9</formula>
      <formula>0.99</formula>
    </cfRule>
  </conditionalFormatting>
  <conditionalFormatting sqref="B2:C2">
    <cfRule type="cellIs" dxfId="0" priority="1" operator="between">
      <formula>0.9</formula>
      <formula>0.99</formula>
    </cfRule>
  </conditionalFormatting>
  <hyperlinks>
    <hyperlink ref="H1" location="Inventory!A1" display="Inventory"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5"/>
  <sheetViews>
    <sheetView showGridLines="0" zoomScaleNormal="100" workbookViewId="0">
      <selection activeCell="C27" sqref="C27:D27"/>
    </sheetView>
  </sheetViews>
  <sheetFormatPr defaultRowHeight="12.75" x14ac:dyDescent="0.2"/>
  <cols>
    <col min="1" max="1" width="17.28515625" style="208" customWidth="1"/>
    <col min="2" max="2" width="12.7109375" style="208" customWidth="1"/>
    <col min="3" max="3" width="52.140625" style="208" bestFit="1" customWidth="1"/>
    <col min="4" max="4" width="83" style="209" bestFit="1" customWidth="1"/>
    <col min="5" max="5" width="13" style="209" bestFit="1" customWidth="1"/>
    <col min="6" max="7" width="20.42578125" style="209" customWidth="1"/>
    <col min="8" max="8" width="14.5703125" style="209" customWidth="1"/>
    <col min="9" max="256" width="9.140625" style="208"/>
    <col min="257" max="257" width="23.5703125" style="208" customWidth="1"/>
    <col min="258" max="258" width="12.7109375" style="208" customWidth="1"/>
    <col min="259" max="259" width="52.140625" style="208" bestFit="1" customWidth="1"/>
    <col min="260" max="260" width="83" style="208" bestFit="1" customWidth="1"/>
    <col min="261" max="261" width="26.140625" style="208" customWidth="1"/>
    <col min="262" max="262" width="0" style="208" hidden="1" customWidth="1"/>
    <col min="263" max="263" width="10.5703125" style="208" bestFit="1" customWidth="1"/>
    <col min="264" max="264" width="14.5703125" style="208" customWidth="1"/>
    <col min="265" max="512" width="9.140625" style="208"/>
    <col min="513" max="513" width="23.5703125" style="208" customWidth="1"/>
    <col min="514" max="514" width="12.7109375" style="208" customWidth="1"/>
    <col min="515" max="515" width="52.140625" style="208" bestFit="1" customWidth="1"/>
    <col min="516" max="516" width="83" style="208" bestFit="1" customWidth="1"/>
    <col min="517" max="517" width="26.140625" style="208" customWidth="1"/>
    <col min="518" max="518" width="0" style="208" hidden="1" customWidth="1"/>
    <col min="519" max="519" width="10.5703125" style="208" bestFit="1" customWidth="1"/>
    <col min="520" max="520" width="14.5703125" style="208" customWidth="1"/>
    <col min="521" max="768" width="9.140625" style="208"/>
    <col min="769" max="769" width="23.5703125" style="208" customWidth="1"/>
    <col min="770" max="770" width="12.7109375" style="208" customWidth="1"/>
    <col min="771" max="771" width="52.140625" style="208" bestFit="1" customWidth="1"/>
    <col min="772" max="772" width="83" style="208" bestFit="1" customWidth="1"/>
    <col min="773" max="773" width="26.140625" style="208" customWidth="1"/>
    <col min="774" max="774" width="0" style="208" hidden="1" customWidth="1"/>
    <col min="775" max="775" width="10.5703125" style="208" bestFit="1" customWidth="1"/>
    <col min="776" max="776" width="14.5703125" style="208" customWidth="1"/>
    <col min="777" max="1024" width="9.140625" style="208"/>
    <col min="1025" max="1025" width="23.5703125" style="208" customWidth="1"/>
    <col min="1026" max="1026" width="12.7109375" style="208" customWidth="1"/>
    <col min="1027" max="1027" width="52.140625" style="208" bestFit="1" customWidth="1"/>
    <col min="1028" max="1028" width="83" style="208" bestFit="1" customWidth="1"/>
    <col min="1029" max="1029" width="26.140625" style="208" customWidth="1"/>
    <col min="1030" max="1030" width="0" style="208" hidden="1" customWidth="1"/>
    <col min="1031" max="1031" width="10.5703125" style="208" bestFit="1" customWidth="1"/>
    <col min="1032" max="1032" width="14.5703125" style="208" customWidth="1"/>
    <col min="1033" max="1280" width="9.140625" style="208"/>
    <col min="1281" max="1281" width="23.5703125" style="208" customWidth="1"/>
    <col min="1282" max="1282" width="12.7109375" style="208" customWidth="1"/>
    <col min="1283" max="1283" width="52.140625" style="208" bestFit="1" customWidth="1"/>
    <col min="1284" max="1284" width="83" style="208" bestFit="1" customWidth="1"/>
    <col min="1285" max="1285" width="26.140625" style="208" customWidth="1"/>
    <col min="1286" max="1286" width="0" style="208" hidden="1" customWidth="1"/>
    <col min="1287" max="1287" width="10.5703125" style="208" bestFit="1" customWidth="1"/>
    <col min="1288" max="1288" width="14.5703125" style="208" customWidth="1"/>
    <col min="1289" max="1536" width="9.140625" style="208"/>
    <col min="1537" max="1537" width="23.5703125" style="208" customWidth="1"/>
    <col min="1538" max="1538" width="12.7109375" style="208" customWidth="1"/>
    <col min="1539" max="1539" width="52.140625" style="208" bestFit="1" customWidth="1"/>
    <col min="1540" max="1540" width="83" style="208" bestFit="1" customWidth="1"/>
    <col min="1541" max="1541" width="26.140625" style="208" customWidth="1"/>
    <col min="1542" max="1542" width="0" style="208" hidden="1" customWidth="1"/>
    <col min="1543" max="1543" width="10.5703125" style="208" bestFit="1" customWidth="1"/>
    <col min="1544" max="1544" width="14.5703125" style="208" customWidth="1"/>
    <col min="1545" max="1792" width="9.140625" style="208"/>
    <col min="1793" max="1793" width="23.5703125" style="208" customWidth="1"/>
    <col min="1794" max="1794" width="12.7109375" style="208" customWidth="1"/>
    <col min="1795" max="1795" width="52.140625" style="208" bestFit="1" customWidth="1"/>
    <col min="1796" max="1796" width="83" style="208" bestFit="1" customWidth="1"/>
    <col min="1797" max="1797" width="26.140625" style="208" customWidth="1"/>
    <col min="1798" max="1798" width="0" style="208" hidden="1" customWidth="1"/>
    <col min="1799" max="1799" width="10.5703125" style="208" bestFit="1" customWidth="1"/>
    <col min="1800" max="1800" width="14.5703125" style="208" customWidth="1"/>
    <col min="1801" max="2048" width="9.140625" style="208"/>
    <col min="2049" max="2049" width="23.5703125" style="208" customWidth="1"/>
    <col min="2050" max="2050" width="12.7109375" style="208" customWidth="1"/>
    <col min="2051" max="2051" width="52.140625" style="208" bestFit="1" customWidth="1"/>
    <col min="2052" max="2052" width="83" style="208" bestFit="1" customWidth="1"/>
    <col min="2053" max="2053" width="26.140625" style="208" customWidth="1"/>
    <col min="2054" max="2054" width="0" style="208" hidden="1" customWidth="1"/>
    <col min="2055" max="2055" width="10.5703125" style="208" bestFit="1" customWidth="1"/>
    <col min="2056" max="2056" width="14.5703125" style="208" customWidth="1"/>
    <col min="2057" max="2304" width="9.140625" style="208"/>
    <col min="2305" max="2305" width="23.5703125" style="208" customWidth="1"/>
    <col min="2306" max="2306" width="12.7109375" style="208" customWidth="1"/>
    <col min="2307" max="2307" width="52.140625" style="208" bestFit="1" customWidth="1"/>
    <col min="2308" max="2308" width="83" style="208" bestFit="1" customWidth="1"/>
    <col min="2309" max="2309" width="26.140625" style="208" customWidth="1"/>
    <col min="2310" max="2310" width="0" style="208" hidden="1" customWidth="1"/>
    <col min="2311" max="2311" width="10.5703125" style="208" bestFit="1" customWidth="1"/>
    <col min="2312" max="2312" width="14.5703125" style="208" customWidth="1"/>
    <col min="2313" max="2560" width="9.140625" style="208"/>
    <col min="2561" max="2561" width="23.5703125" style="208" customWidth="1"/>
    <col min="2562" max="2562" width="12.7109375" style="208" customWidth="1"/>
    <col min="2563" max="2563" width="52.140625" style="208" bestFit="1" customWidth="1"/>
    <col min="2564" max="2564" width="83" style="208" bestFit="1" customWidth="1"/>
    <col min="2565" max="2565" width="26.140625" style="208" customWidth="1"/>
    <col min="2566" max="2566" width="0" style="208" hidden="1" customWidth="1"/>
    <col min="2567" max="2567" width="10.5703125" style="208" bestFit="1" customWidth="1"/>
    <col min="2568" max="2568" width="14.5703125" style="208" customWidth="1"/>
    <col min="2569" max="2816" width="9.140625" style="208"/>
    <col min="2817" max="2817" width="23.5703125" style="208" customWidth="1"/>
    <col min="2818" max="2818" width="12.7109375" style="208" customWidth="1"/>
    <col min="2819" max="2819" width="52.140625" style="208" bestFit="1" customWidth="1"/>
    <col min="2820" max="2820" width="83" style="208" bestFit="1" customWidth="1"/>
    <col min="2821" max="2821" width="26.140625" style="208" customWidth="1"/>
    <col min="2822" max="2822" width="0" style="208" hidden="1" customWidth="1"/>
    <col min="2823" max="2823" width="10.5703125" style="208" bestFit="1" customWidth="1"/>
    <col min="2824" max="2824" width="14.5703125" style="208" customWidth="1"/>
    <col min="2825" max="3072" width="9.140625" style="208"/>
    <col min="3073" max="3073" width="23.5703125" style="208" customWidth="1"/>
    <col min="3074" max="3074" width="12.7109375" style="208" customWidth="1"/>
    <col min="3075" max="3075" width="52.140625" style="208" bestFit="1" customWidth="1"/>
    <col min="3076" max="3076" width="83" style="208" bestFit="1" customWidth="1"/>
    <col min="3077" max="3077" width="26.140625" style="208" customWidth="1"/>
    <col min="3078" max="3078" width="0" style="208" hidden="1" customWidth="1"/>
    <col min="3079" max="3079" width="10.5703125" style="208" bestFit="1" customWidth="1"/>
    <col min="3080" max="3080" width="14.5703125" style="208" customWidth="1"/>
    <col min="3081" max="3328" width="9.140625" style="208"/>
    <col min="3329" max="3329" width="23.5703125" style="208" customWidth="1"/>
    <col min="3330" max="3330" width="12.7109375" style="208" customWidth="1"/>
    <col min="3331" max="3331" width="52.140625" style="208" bestFit="1" customWidth="1"/>
    <col min="3332" max="3332" width="83" style="208" bestFit="1" customWidth="1"/>
    <col min="3333" max="3333" width="26.140625" style="208" customWidth="1"/>
    <col min="3334" max="3334" width="0" style="208" hidden="1" customWidth="1"/>
    <col min="3335" max="3335" width="10.5703125" style="208" bestFit="1" customWidth="1"/>
    <col min="3336" max="3336" width="14.5703125" style="208" customWidth="1"/>
    <col min="3337" max="3584" width="9.140625" style="208"/>
    <col min="3585" max="3585" width="23.5703125" style="208" customWidth="1"/>
    <col min="3586" max="3586" width="12.7109375" style="208" customWidth="1"/>
    <col min="3587" max="3587" width="52.140625" style="208" bestFit="1" customWidth="1"/>
    <col min="3588" max="3588" width="83" style="208" bestFit="1" customWidth="1"/>
    <col min="3589" max="3589" width="26.140625" style="208" customWidth="1"/>
    <col min="3590" max="3590" width="0" style="208" hidden="1" customWidth="1"/>
    <col min="3591" max="3591" width="10.5703125" style="208" bestFit="1" customWidth="1"/>
    <col min="3592" max="3592" width="14.5703125" style="208" customWidth="1"/>
    <col min="3593" max="3840" width="9.140625" style="208"/>
    <col min="3841" max="3841" width="23.5703125" style="208" customWidth="1"/>
    <col min="3842" max="3842" width="12.7109375" style="208" customWidth="1"/>
    <col min="3843" max="3843" width="52.140625" style="208" bestFit="1" customWidth="1"/>
    <col min="3844" max="3844" width="83" style="208" bestFit="1" customWidth="1"/>
    <col min="3845" max="3845" width="26.140625" style="208" customWidth="1"/>
    <col min="3846" max="3846" width="0" style="208" hidden="1" customWidth="1"/>
    <col min="3847" max="3847" width="10.5703125" style="208" bestFit="1" customWidth="1"/>
    <col min="3848" max="3848" width="14.5703125" style="208" customWidth="1"/>
    <col min="3849" max="4096" width="9.140625" style="208"/>
    <col min="4097" max="4097" width="23.5703125" style="208" customWidth="1"/>
    <col min="4098" max="4098" width="12.7109375" style="208" customWidth="1"/>
    <col min="4099" max="4099" width="52.140625" style="208" bestFit="1" customWidth="1"/>
    <col min="4100" max="4100" width="83" style="208" bestFit="1" customWidth="1"/>
    <col min="4101" max="4101" width="26.140625" style="208" customWidth="1"/>
    <col min="4102" max="4102" width="0" style="208" hidden="1" customWidth="1"/>
    <col min="4103" max="4103" width="10.5703125" style="208" bestFit="1" customWidth="1"/>
    <col min="4104" max="4104" width="14.5703125" style="208" customWidth="1"/>
    <col min="4105" max="4352" width="9.140625" style="208"/>
    <col min="4353" max="4353" width="23.5703125" style="208" customWidth="1"/>
    <col min="4354" max="4354" width="12.7109375" style="208" customWidth="1"/>
    <col min="4355" max="4355" width="52.140625" style="208" bestFit="1" customWidth="1"/>
    <col min="4356" max="4356" width="83" style="208" bestFit="1" customWidth="1"/>
    <col min="4357" max="4357" width="26.140625" style="208" customWidth="1"/>
    <col min="4358" max="4358" width="0" style="208" hidden="1" customWidth="1"/>
    <col min="4359" max="4359" width="10.5703125" style="208" bestFit="1" customWidth="1"/>
    <col min="4360" max="4360" width="14.5703125" style="208" customWidth="1"/>
    <col min="4361" max="4608" width="9.140625" style="208"/>
    <col min="4609" max="4609" width="23.5703125" style="208" customWidth="1"/>
    <col min="4610" max="4610" width="12.7109375" style="208" customWidth="1"/>
    <col min="4611" max="4611" width="52.140625" style="208" bestFit="1" customWidth="1"/>
    <col min="4612" max="4612" width="83" style="208" bestFit="1" customWidth="1"/>
    <col min="4613" max="4613" width="26.140625" style="208" customWidth="1"/>
    <col min="4614" max="4614" width="0" style="208" hidden="1" customWidth="1"/>
    <col min="4615" max="4615" width="10.5703125" style="208" bestFit="1" customWidth="1"/>
    <col min="4616" max="4616" width="14.5703125" style="208" customWidth="1"/>
    <col min="4617" max="4864" width="9.140625" style="208"/>
    <col min="4865" max="4865" width="23.5703125" style="208" customWidth="1"/>
    <col min="4866" max="4866" width="12.7109375" style="208" customWidth="1"/>
    <col min="4867" max="4867" width="52.140625" style="208" bestFit="1" customWidth="1"/>
    <col min="4868" max="4868" width="83" style="208" bestFit="1" customWidth="1"/>
    <col min="4869" max="4869" width="26.140625" style="208" customWidth="1"/>
    <col min="4870" max="4870" width="0" style="208" hidden="1" customWidth="1"/>
    <col min="4871" max="4871" width="10.5703125" style="208" bestFit="1" customWidth="1"/>
    <col min="4872" max="4872" width="14.5703125" style="208" customWidth="1"/>
    <col min="4873" max="5120" width="9.140625" style="208"/>
    <col min="5121" max="5121" width="23.5703125" style="208" customWidth="1"/>
    <col min="5122" max="5122" width="12.7109375" style="208" customWidth="1"/>
    <col min="5123" max="5123" width="52.140625" style="208" bestFit="1" customWidth="1"/>
    <col min="5124" max="5124" width="83" style="208" bestFit="1" customWidth="1"/>
    <col min="5125" max="5125" width="26.140625" style="208" customWidth="1"/>
    <col min="5126" max="5126" width="0" style="208" hidden="1" customWidth="1"/>
    <col min="5127" max="5127" width="10.5703125" style="208" bestFit="1" customWidth="1"/>
    <col min="5128" max="5128" width="14.5703125" style="208" customWidth="1"/>
    <col min="5129" max="5376" width="9.140625" style="208"/>
    <col min="5377" max="5377" width="23.5703125" style="208" customWidth="1"/>
    <col min="5378" max="5378" width="12.7109375" style="208" customWidth="1"/>
    <col min="5379" max="5379" width="52.140625" style="208" bestFit="1" customWidth="1"/>
    <col min="5380" max="5380" width="83" style="208" bestFit="1" customWidth="1"/>
    <col min="5381" max="5381" width="26.140625" style="208" customWidth="1"/>
    <col min="5382" max="5382" width="0" style="208" hidden="1" customWidth="1"/>
    <col min="5383" max="5383" width="10.5703125" style="208" bestFit="1" customWidth="1"/>
    <col min="5384" max="5384" width="14.5703125" style="208" customWidth="1"/>
    <col min="5385" max="5632" width="9.140625" style="208"/>
    <col min="5633" max="5633" width="23.5703125" style="208" customWidth="1"/>
    <col min="5634" max="5634" width="12.7109375" style="208" customWidth="1"/>
    <col min="5635" max="5635" width="52.140625" style="208" bestFit="1" customWidth="1"/>
    <col min="5636" max="5636" width="83" style="208" bestFit="1" customWidth="1"/>
    <col min="5637" max="5637" width="26.140625" style="208" customWidth="1"/>
    <col min="5638" max="5638" width="0" style="208" hidden="1" customWidth="1"/>
    <col min="5639" max="5639" width="10.5703125" style="208" bestFit="1" customWidth="1"/>
    <col min="5640" max="5640" width="14.5703125" style="208" customWidth="1"/>
    <col min="5641" max="5888" width="9.140625" style="208"/>
    <col min="5889" max="5889" width="23.5703125" style="208" customWidth="1"/>
    <col min="5890" max="5890" width="12.7109375" style="208" customWidth="1"/>
    <col min="5891" max="5891" width="52.140625" style="208" bestFit="1" customWidth="1"/>
    <col min="5892" max="5892" width="83" style="208" bestFit="1" customWidth="1"/>
    <col min="5893" max="5893" width="26.140625" style="208" customWidth="1"/>
    <col min="5894" max="5894" width="0" style="208" hidden="1" customWidth="1"/>
    <col min="5895" max="5895" width="10.5703125" style="208" bestFit="1" customWidth="1"/>
    <col min="5896" max="5896" width="14.5703125" style="208" customWidth="1"/>
    <col min="5897" max="6144" width="9.140625" style="208"/>
    <col min="6145" max="6145" width="23.5703125" style="208" customWidth="1"/>
    <col min="6146" max="6146" width="12.7109375" style="208" customWidth="1"/>
    <col min="6147" max="6147" width="52.140625" style="208" bestFit="1" customWidth="1"/>
    <col min="6148" max="6148" width="83" style="208" bestFit="1" customWidth="1"/>
    <col min="6149" max="6149" width="26.140625" style="208" customWidth="1"/>
    <col min="6150" max="6150" width="0" style="208" hidden="1" customWidth="1"/>
    <col min="6151" max="6151" width="10.5703125" style="208" bestFit="1" customWidth="1"/>
    <col min="6152" max="6152" width="14.5703125" style="208" customWidth="1"/>
    <col min="6153" max="6400" width="9.140625" style="208"/>
    <col min="6401" max="6401" width="23.5703125" style="208" customWidth="1"/>
    <col min="6402" max="6402" width="12.7109375" style="208" customWidth="1"/>
    <col min="6403" max="6403" width="52.140625" style="208" bestFit="1" customWidth="1"/>
    <col min="6404" max="6404" width="83" style="208" bestFit="1" customWidth="1"/>
    <col min="6405" max="6405" width="26.140625" style="208" customWidth="1"/>
    <col min="6406" max="6406" width="0" style="208" hidden="1" customWidth="1"/>
    <col min="6407" max="6407" width="10.5703125" style="208" bestFit="1" customWidth="1"/>
    <col min="6408" max="6408" width="14.5703125" style="208" customWidth="1"/>
    <col min="6409" max="6656" width="9.140625" style="208"/>
    <col min="6657" max="6657" width="23.5703125" style="208" customWidth="1"/>
    <col min="6658" max="6658" width="12.7109375" style="208" customWidth="1"/>
    <col min="6659" max="6659" width="52.140625" style="208" bestFit="1" customWidth="1"/>
    <col min="6660" max="6660" width="83" style="208" bestFit="1" customWidth="1"/>
    <col min="6661" max="6661" width="26.140625" style="208" customWidth="1"/>
    <col min="6662" max="6662" width="0" style="208" hidden="1" customWidth="1"/>
    <col min="6663" max="6663" width="10.5703125" style="208" bestFit="1" customWidth="1"/>
    <col min="6664" max="6664" width="14.5703125" style="208" customWidth="1"/>
    <col min="6665" max="6912" width="9.140625" style="208"/>
    <col min="6913" max="6913" width="23.5703125" style="208" customWidth="1"/>
    <col min="6914" max="6914" width="12.7109375" style="208" customWidth="1"/>
    <col min="6915" max="6915" width="52.140625" style="208" bestFit="1" customWidth="1"/>
    <col min="6916" max="6916" width="83" style="208" bestFit="1" customWidth="1"/>
    <col min="6917" max="6917" width="26.140625" style="208" customWidth="1"/>
    <col min="6918" max="6918" width="0" style="208" hidden="1" customWidth="1"/>
    <col min="6919" max="6919" width="10.5703125" style="208" bestFit="1" customWidth="1"/>
    <col min="6920" max="6920" width="14.5703125" style="208" customWidth="1"/>
    <col min="6921" max="7168" width="9.140625" style="208"/>
    <col min="7169" max="7169" width="23.5703125" style="208" customWidth="1"/>
    <col min="7170" max="7170" width="12.7109375" style="208" customWidth="1"/>
    <col min="7171" max="7171" width="52.140625" style="208" bestFit="1" customWidth="1"/>
    <col min="7172" max="7172" width="83" style="208" bestFit="1" customWidth="1"/>
    <col min="7173" max="7173" width="26.140625" style="208" customWidth="1"/>
    <col min="7174" max="7174" width="0" style="208" hidden="1" customWidth="1"/>
    <col min="7175" max="7175" width="10.5703125" style="208" bestFit="1" customWidth="1"/>
    <col min="7176" max="7176" width="14.5703125" style="208" customWidth="1"/>
    <col min="7177" max="7424" width="9.140625" style="208"/>
    <col min="7425" max="7425" width="23.5703125" style="208" customWidth="1"/>
    <col min="7426" max="7426" width="12.7109375" style="208" customWidth="1"/>
    <col min="7427" max="7427" width="52.140625" style="208" bestFit="1" customWidth="1"/>
    <col min="7428" max="7428" width="83" style="208" bestFit="1" customWidth="1"/>
    <col min="7429" max="7429" width="26.140625" style="208" customWidth="1"/>
    <col min="7430" max="7430" width="0" style="208" hidden="1" customWidth="1"/>
    <col min="7431" max="7431" width="10.5703125" style="208" bestFit="1" customWidth="1"/>
    <col min="7432" max="7432" width="14.5703125" style="208" customWidth="1"/>
    <col min="7433" max="7680" width="9.140625" style="208"/>
    <col min="7681" max="7681" width="23.5703125" style="208" customWidth="1"/>
    <col min="7682" max="7682" width="12.7109375" style="208" customWidth="1"/>
    <col min="7683" max="7683" width="52.140625" style="208" bestFit="1" customWidth="1"/>
    <col min="7684" max="7684" width="83" style="208" bestFit="1" customWidth="1"/>
    <col min="7685" max="7685" width="26.140625" style="208" customWidth="1"/>
    <col min="7686" max="7686" width="0" style="208" hidden="1" customWidth="1"/>
    <col min="7687" max="7687" width="10.5703125" style="208" bestFit="1" customWidth="1"/>
    <col min="7688" max="7688" width="14.5703125" style="208" customWidth="1"/>
    <col min="7689" max="7936" width="9.140625" style="208"/>
    <col min="7937" max="7937" width="23.5703125" style="208" customWidth="1"/>
    <col min="7938" max="7938" width="12.7109375" style="208" customWidth="1"/>
    <col min="7939" max="7939" width="52.140625" style="208" bestFit="1" customWidth="1"/>
    <col min="7940" max="7940" width="83" style="208" bestFit="1" customWidth="1"/>
    <col min="7941" max="7941" width="26.140625" style="208" customWidth="1"/>
    <col min="7942" max="7942" width="0" style="208" hidden="1" customWidth="1"/>
    <col min="7943" max="7943" width="10.5703125" style="208" bestFit="1" customWidth="1"/>
    <col min="7944" max="7944" width="14.5703125" style="208" customWidth="1"/>
    <col min="7945" max="8192" width="9.140625" style="208"/>
    <col min="8193" max="8193" width="23.5703125" style="208" customWidth="1"/>
    <col min="8194" max="8194" width="12.7109375" style="208" customWidth="1"/>
    <col min="8195" max="8195" width="52.140625" style="208" bestFit="1" customWidth="1"/>
    <col min="8196" max="8196" width="83" style="208" bestFit="1" customWidth="1"/>
    <col min="8197" max="8197" width="26.140625" style="208" customWidth="1"/>
    <col min="8198" max="8198" width="0" style="208" hidden="1" customWidth="1"/>
    <col min="8199" max="8199" width="10.5703125" style="208" bestFit="1" customWidth="1"/>
    <col min="8200" max="8200" width="14.5703125" style="208" customWidth="1"/>
    <col min="8201" max="8448" width="9.140625" style="208"/>
    <col min="8449" max="8449" width="23.5703125" style="208" customWidth="1"/>
    <col min="8450" max="8450" width="12.7109375" style="208" customWidth="1"/>
    <col min="8451" max="8451" width="52.140625" style="208" bestFit="1" customWidth="1"/>
    <col min="8452" max="8452" width="83" style="208" bestFit="1" customWidth="1"/>
    <col min="8453" max="8453" width="26.140625" style="208" customWidth="1"/>
    <col min="8454" max="8454" width="0" style="208" hidden="1" customWidth="1"/>
    <col min="8455" max="8455" width="10.5703125" style="208" bestFit="1" customWidth="1"/>
    <col min="8456" max="8456" width="14.5703125" style="208" customWidth="1"/>
    <col min="8457" max="8704" width="9.140625" style="208"/>
    <col min="8705" max="8705" width="23.5703125" style="208" customWidth="1"/>
    <col min="8706" max="8706" width="12.7109375" style="208" customWidth="1"/>
    <col min="8707" max="8707" width="52.140625" style="208" bestFit="1" customWidth="1"/>
    <col min="8708" max="8708" width="83" style="208" bestFit="1" customWidth="1"/>
    <col min="8709" max="8709" width="26.140625" style="208" customWidth="1"/>
    <col min="8710" max="8710" width="0" style="208" hidden="1" customWidth="1"/>
    <col min="8711" max="8711" width="10.5703125" style="208" bestFit="1" customWidth="1"/>
    <col min="8712" max="8712" width="14.5703125" style="208" customWidth="1"/>
    <col min="8713" max="8960" width="9.140625" style="208"/>
    <col min="8961" max="8961" width="23.5703125" style="208" customWidth="1"/>
    <col min="8962" max="8962" width="12.7109375" style="208" customWidth="1"/>
    <col min="8963" max="8963" width="52.140625" style="208" bestFit="1" customWidth="1"/>
    <col min="8964" max="8964" width="83" style="208" bestFit="1" customWidth="1"/>
    <col min="8965" max="8965" width="26.140625" style="208" customWidth="1"/>
    <col min="8966" max="8966" width="0" style="208" hidden="1" customWidth="1"/>
    <col min="8967" max="8967" width="10.5703125" style="208" bestFit="1" customWidth="1"/>
    <col min="8968" max="8968" width="14.5703125" style="208" customWidth="1"/>
    <col min="8969" max="9216" width="9.140625" style="208"/>
    <col min="9217" max="9217" width="23.5703125" style="208" customWidth="1"/>
    <col min="9218" max="9218" width="12.7109375" style="208" customWidth="1"/>
    <col min="9219" max="9219" width="52.140625" style="208" bestFit="1" customWidth="1"/>
    <col min="9220" max="9220" width="83" style="208" bestFit="1" customWidth="1"/>
    <col min="9221" max="9221" width="26.140625" style="208" customWidth="1"/>
    <col min="9222" max="9222" width="0" style="208" hidden="1" customWidth="1"/>
    <col min="9223" max="9223" width="10.5703125" style="208" bestFit="1" customWidth="1"/>
    <col min="9224" max="9224" width="14.5703125" style="208" customWidth="1"/>
    <col min="9225" max="9472" width="9.140625" style="208"/>
    <col min="9473" max="9473" width="23.5703125" style="208" customWidth="1"/>
    <col min="9474" max="9474" width="12.7109375" style="208" customWidth="1"/>
    <col min="9475" max="9475" width="52.140625" style="208" bestFit="1" customWidth="1"/>
    <col min="9476" max="9476" width="83" style="208" bestFit="1" customWidth="1"/>
    <col min="9477" max="9477" width="26.140625" style="208" customWidth="1"/>
    <col min="9478" max="9478" width="0" style="208" hidden="1" customWidth="1"/>
    <col min="9479" max="9479" width="10.5703125" style="208" bestFit="1" customWidth="1"/>
    <col min="9480" max="9480" width="14.5703125" style="208" customWidth="1"/>
    <col min="9481" max="9728" width="9.140625" style="208"/>
    <col min="9729" max="9729" width="23.5703125" style="208" customWidth="1"/>
    <col min="9730" max="9730" width="12.7109375" style="208" customWidth="1"/>
    <col min="9731" max="9731" width="52.140625" style="208" bestFit="1" customWidth="1"/>
    <col min="9732" max="9732" width="83" style="208" bestFit="1" customWidth="1"/>
    <col min="9733" max="9733" width="26.140625" style="208" customWidth="1"/>
    <col min="9734" max="9734" width="0" style="208" hidden="1" customWidth="1"/>
    <col min="9735" max="9735" width="10.5703125" style="208" bestFit="1" customWidth="1"/>
    <col min="9736" max="9736" width="14.5703125" style="208" customWidth="1"/>
    <col min="9737" max="9984" width="9.140625" style="208"/>
    <col min="9985" max="9985" width="23.5703125" style="208" customWidth="1"/>
    <col min="9986" max="9986" width="12.7109375" style="208" customWidth="1"/>
    <col min="9987" max="9987" width="52.140625" style="208" bestFit="1" customWidth="1"/>
    <col min="9988" max="9988" width="83" style="208" bestFit="1" customWidth="1"/>
    <col min="9989" max="9989" width="26.140625" style="208" customWidth="1"/>
    <col min="9990" max="9990" width="0" style="208" hidden="1" customWidth="1"/>
    <col min="9991" max="9991" width="10.5703125" style="208" bestFit="1" customWidth="1"/>
    <col min="9992" max="9992" width="14.5703125" style="208" customWidth="1"/>
    <col min="9993" max="10240" width="9.140625" style="208"/>
    <col min="10241" max="10241" width="23.5703125" style="208" customWidth="1"/>
    <col min="10242" max="10242" width="12.7109375" style="208" customWidth="1"/>
    <col min="10243" max="10243" width="52.140625" style="208" bestFit="1" customWidth="1"/>
    <col min="10244" max="10244" width="83" style="208" bestFit="1" customWidth="1"/>
    <col min="10245" max="10245" width="26.140625" style="208" customWidth="1"/>
    <col min="10246" max="10246" width="0" style="208" hidden="1" customWidth="1"/>
    <col min="10247" max="10247" width="10.5703125" style="208" bestFit="1" customWidth="1"/>
    <col min="10248" max="10248" width="14.5703125" style="208" customWidth="1"/>
    <col min="10249" max="10496" width="9.140625" style="208"/>
    <col min="10497" max="10497" width="23.5703125" style="208" customWidth="1"/>
    <col min="10498" max="10498" width="12.7109375" style="208" customWidth="1"/>
    <col min="10499" max="10499" width="52.140625" style="208" bestFit="1" customWidth="1"/>
    <col min="10500" max="10500" width="83" style="208" bestFit="1" customWidth="1"/>
    <col min="10501" max="10501" width="26.140625" style="208" customWidth="1"/>
    <col min="10502" max="10502" width="0" style="208" hidden="1" customWidth="1"/>
    <col min="10503" max="10503" width="10.5703125" style="208" bestFit="1" customWidth="1"/>
    <col min="10504" max="10504" width="14.5703125" style="208" customWidth="1"/>
    <col min="10505" max="10752" width="9.140625" style="208"/>
    <col min="10753" max="10753" width="23.5703125" style="208" customWidth="1"/>
    <col min="10754" max="10754" width="12.7109375" style="208" customWidth="1"/>
    <col min="10755" max="10755" width="52.140625" style="208" bestFit="1" customWidth="1"/>
    <col min="10756" max="10756" width="83" style="208" bestFit="1" customWidth="1"/>
    <col min="10757" max="10757" width="26.140625" style="208" customWidth="1"/>
    <col min="10758" max="10758" width="0" style="208" hidden="1" customWidth="1"/>
    <col min="10759" max="10759" width="10.5703125" style="208" bestFit="1" customWidth="1"/>
    <col min="10760" max="10760" width="14.5703125" style="208" customWidth="1"/>
    <col min="10761" max="11008" width="9.140625" style="208"/>
    <col min="11009" max="11009" width="23.5703125" style="208" customWidth="1"/>
    <col min="11010" max="11010" width="12.7109375" style="208" customWidth="1"/>
    <col min="11011" max="11011" width="52.140625" style="208" bestFit="1" customWidth="1"/>
    <col min="11012" max="11012" width="83" style="208" bestFit="1" customWidth="1"/>
    <col min="11013" max="11013" width="26.140625" style="208" customWidth="1"/>
    <col min="11014" max="11014" width="0" style="208" hidden="1" customWidth="1"/>
    <col min="11015" max="11015" width="10.5703125" style="208" bestFit="1" customWidth="1"/>
    <col min="11016" max="11016" width="14.5703125" style="208" customWidth="1"/>
    <col min="11017" max="11264" width="9.140625" style="208"/>
    <col min="11265" max="11265" width="23.5703125" style="208" customWidth="1"/>
    <col min="11266" max="11266" width="12.7109375" style="208" customWidth="1"/>
    <col min="11267" max="11267" width="52.140625" style="208" bestFit="1" customWidth="1"/>
    <col min="11268" max="11268" width="83" style="208" bestFit="1" customWidth="1"/>
    <col min="11269" max="11269" width="26.140625" style="208" customWidth="1"/>
    <col min="11270" max="11270" width="0" style="208" hidden="1" customWidth="1"/>
    <col min="11271" max="11271" width="10.5703125" style="208" bestFit="1" customWidth="1"/>
    <col min="11272" max="11272" width="14.5703125" style="208" customWidth="1"/>
    <col min="11273" max="11520" width="9.140625" style="208"/>
    <col min="11521" max="11521" width="23.5703125" style="208" customWidth="1"/>
    <col min="11522" max="11522" width="12.7109375" style="208" customWidth="1"/>
    <col min="11523" max="11523" width="52.140625" style="208" bestFit="1" customWidth="1"/>
    <col min="11524" max="11524" width="83" style="208" bestFit="1" customWidth="1"/>
    <col min="11525" max="11525" width="26.140625" style="208" customWidth="1"/>
    <col min="11526" max="11526" width="0" style="208" hidden="1" customWidth="1"/>
    <col min="11527" max="11527" width="10.5703125" style="208" bestFit="1" customWidth="1"/>
    <col min="11528" max="11528" width="14.5703125" style="208" customWidth="1"/>
    <col min="11529" max="11776" width="9.140625" style="208"/>
    <col min="11777" max="11777" width="23.5703125" style="208" customWidth="1"/>
    <col min="11778" max="11778" width="12.7109375" style="208" customWidth="1"/>
    <col min="11779" max="11779" width="52.140625" style="208" bestFit="1" customWidth="1"/>
    <col min="11780" max="11780" width="83" style="208" bestFit="1" customWidth="1"/>
    <col min="11781" max="11781" width="26.140625" style="208" customWidth="1"/>
    <col min="11782" max="11782" width="0" style="208" hidden="1" customWidth="1"/>
    <col min="11783" max="11783" width="10.5703125" style="208" bestFit="1" customWidth="1"/>
    <col min="11784" max="11784" width="14.5703125" style="208" customWidth="1"/>
    <col min="11785" max="12032" width="9.140625" style="208"/>
    <col min="12033" max="12033" width="23.5703125" style="208" customWidth="1"/>
    <col min="12034" max="12034" width="12.7109375" style="208" customWidth="1"/>
    <col min="12035" max="12035" width="52.140625" style="208" bestFit="1" customWidth="1"/>
    <col min="12036" max="12036" width="83" style="208" bestFit="1" customWidth="1"/>
    <col min="12037" max="12037" width="26.140625" style="208" customWidth="1"/>
    <col min="12038" max="12038" width="0" style="208" hidden="1" customWidth="1"/>
    <col min="12039" max="12039" width="10.5703125" style="208" bestFit="1" customWidth="1"/>
    <col min="12040" max="12040" width="14.5703125" style="208" customWidth="1"/>
    <col min="12041" max="12288" width="9.140625" style="208"/>
    <col min="12289" max="12289" width="23.5703125" style="208" customWidth="1"/>
    <col min="12290" max="12290" width="12.7109375" style="208" customWidth="1"/>
    <col min="12291" max="12291" width="52.140625" style="208" bestFit="1" customWidth="1"/>
    <col min="12292" max="12292" width="83" style="208" bestFit="1" customWidth="1"/>
    <col min="12293" max="12293" width="26.140625" style="208" customWidth="1"/>
    <col min="12294" max="12294" width="0" style="208" hidden="1" customWidth="1"/>
    <col min="12295" max="12295" width="10.5703125" style="208" bestFit="1" customWidth="1"/>
    <col min="12296" max="12296" width="14.5703125" style="208" customWidth="1"/>
    <col min="12297" max="12544" width="9.140625" style="208"/>
    <col min="12545" max="12545" width="23.5703125" style="208" customWidth="1"/>
    <col min="12546" max="12546" width="12.7109375" style="208" customWidth="1"/>
    <col min="12547" max="12547" width="52.140625" style="208" bestFit="1" customWidth="1"/>
    <col min="12548" max="12548" width="83" style="208" bestFit="1" customWidth="1"/>
    <col min="12549" max="12549" width="26.140625" style="208" customWidth="1"/>
    <col min="12550" max="12550" width="0" style="208" hidden="1" customWidth="1"/>
    <col min="12551" max="12551" width="10.5703125" style="208" bestFit="1" customWidth="1"/>
    <col min="12552" max="12552" width="14.5703125" style="208" customWidth="1"/>
    <col min="12553" max="12800" width="9.140625" style="208"/>
    <col min="12801" max="12801" width="23.5703125" style="208" customWidth="1"/>
    <col min="12802" max="12802" width="12.7109375" style="208" customWidth="1"/>
    <col min="12803" max="12803" width="52.140625" style="208" bestFit="1" customWidth="1"/>
    <col min="12804" max="12804" width="83" style="208" bestFit="1" customWidth="1"/>
    <col min="12805" max="12805" width="26.140625" style="208" customWidth="1"/>
    <col min="12806" max="12806" width="0" style="208" hidden="1" customWidth="1"/>
    <col min="12807" max="12807" width="10.5703125" style="208" bestFit="1" customWidth="1"/>
    <col min="12808" max="12808" width="14.5703125" style="208" customWidth="1"/>
    <col min="12809" max="13056" width="9.140625" style="208"/>
    <col min="13057" max="13057" width="23.5703125" style="208" customWidth="1"/>
    <col min="13058" max="13058" width="12.7109375" style="208" customWidth="1"/>
    <col min="13059" max="13059" width="52.140625" style="208" bestFit="1" customWidth="1"/>
    <col min="13060" max="13060" width="83" style="208" bestFit="1" customWidth="1"/>
    <col min="13061" max="13061" width="26.140625" style="208" customWidth="1"/>
    <col min="13062" max="13062" width="0" style="208" hidden="1" customWidth="1"/>
    <col min="13063" max="13063" width="10.5703125" style="208" bestFit="1" customWidth="1"/>
    <col min="13064" max="13064" width="14.5703125" style="208" customWidth="1"/>
    <col min="13065" max="13312" width="9.140625" style="208"/>
    <col min="13313" max="13313" width="23.5703125" style="208" customWidth="1"/>
    <col min="13314" max="13314" width="12.7109375" style="208" customWidth="1"/>
    <col min="13315" max="13315" width="52.140625" style="208" bestFit="1" customWidth="1"/>
    <col min="13316" max="13316" width="83" style="208" bestFit="1" customWidth="1"/>
    <col min="13317" max="13317" width="26.140625" style="208" customWidth="1"/>
    <col min="13318" max="13318" width="0" style="208" hidden="1" customWidth="1"/>
    <col min="13319" max="13319" width="10.5703125" style="208" bestFit="1" customWidth="1"/>
    <col min="13320" max="13320" width="14.5703125" style="208" customWidth="1"/>
    <col min="13321" max="13568" width="9.140625" style="208"/>
    <col min="13569" max="13569" width="23.5703125" style="208" customWidth="1"/>
    <col min="13570" max="13570" width="12.7109375" style="208" customWidth="1"/>
    <col min="13571" max="13571" width="52.140625" style="208" bestFit="1" customWidth="1"/>
    <col min="13572" max="13572" width="83" style="208" bestFit="1" customWidth="1"/>
    <col min="13573" max="13573" width="26.140625" style="208" customWidth="1"/>
    <col min="13574" max="13574" width="0" style="208" hidden="1" customWidth="1"/>
    <col min="13575" max="13575" width="10.5703125" style="208" bestFit="1" customWidth="1"/>
    <col min="13576" max="13576" width="14.5703125" style="208" customWidth="1"/>
    <col min="13577" max="13824" width="9.140625" style="208"/>
    <col min="13825" max="13825" width="23.5703125" style="208" customWidth="1"/>
    <col min="13826" max="13826" width="12.7109375" style="208" customWidth="1"/>
    <col min="13827" max="13827" width="52.140625" style="208" bestFit="1" customWidth="1"/>
    <col min="13828" max="13828" width="83" style="208" bestFit="1" customWidth="1"/>
    <col min="13829" max="13829" width="26.140625" style="208" customWidth="1"/>
    <col min="13830" max="13830" width="0" style="208" hidden="1" customWidth="1"/>
    <col min="13831" max="13831" width="10.5703125" style="208" bestFit="1" customWidth="1"/>
    <col min="13832" max="13832" width="14.5703125" style="208" customWidth="1"/>
    <col min="13833" max="14080" width="9.140625" style="208"/>
    <col min="14081" max="14081" width="23.5703125" style="208" customWidth="1"/>
    <col min="14082" max="14082" width="12.7109375" style="208" customWidth="1"/>
    <col min="14083" max="14083" width="52.140625" style="208" bestFit="1" customWidth="1"/>
    <col min="14084" max="14084" width="83" style="208" bestFit="1" customWidth="1"/>
    <col min="14085" max="14085" width="26.140625" style="208" customWidth="1"/>
    <col min="14086" max="14086" width="0" style="208" hidden="1" customWidth="1"/>
    <col min="14087" max="14087" width="10.5703125" style="208" bestFit="1" customWidth="1"/>
    <col min="14088" max="14088" width="14.5703125" style="208" customWidth="1"/>
    <col min="14089" max="14336" width="9.140625" style="208"/>
    <col min="14337" max="14337" width="23.5703125" style="208" customWidth="1"/>
    <col min="14338" max="14338" width="12.7109375" style="208" customWidth="1"/>
    <col min="14339" max="14339" width="52.140625" style="208" bestFit="1" customWidth="1"/>
    <col min="14340" max="14340" width="83" style="208" bestFit="1" customWidth="1"/>
    <col min="14341" max="14341" width="26.140625" style="208" customWidth="1"/>
    <col min="14342" max="14342" width="0" style="208" hidden="1" customWidth="1"/>
    <col min="14343" max="14343" width="10.5703125" style="208" bestFit="1" customWidth="1"/>
    <col min="14344" max="14344" width="14.5703125" style="208" customWidth="1"/>
    <col min="14345" max="14592" width="9.140625" style="208"/>
    <col min="14593" max="14593" width="23.5703125" style="208" customWidth="1"/>
    <col min="14594" max="14594" width="12.7109375" style="208" customWidth="1"/>
    <col min="14595" max="14595" width="52.140625" style="208" bestFit="1" customWidth="1"/>
    <col min="14596" max="14596" width="83" style="208" bestFit="1" customWidth="1"/>
    <col min="14597" max="14597" width="26.140625" style="208" customWidth="1"/>
    <col min="14598" max="14598" width="0" style="208" hidden="1" customWidth="1"/>
    <col min="14599" max="14599" width="10.5703125" style="208" bestFit="1" customWidth="1"/>
    <col min="14600" max="14600" width="14.5703125" style="208" customWidth="1"/>
    <col min="14601" max="14848" width="9.140625" style="208"/>
    <col min="14849" max="14849" width="23.5703125" style="208" customWidth="1"/>
    <col min="14850" max="14850" width="12.7109375" style="208" customWidth="1"/>
    <col min="14851" max="14851" width="52.140625" style="208" bestFit="1" customWidth="1"/>
    <col min="14852" max="14852" width="83" style="208" bestFit="1" customWidth="1"/>
    <col min="14853" max="14853" width="26.140625" style="208" customWidth="1"/>
    <col min="14854" max="14854" width="0" style="208" hidden="1" customWidth="1"/>
    <col min="14855" max="14855" width="10.5703125" style="208" bestFit="1" customWidth="1"/>
    <col min="14856" max="14856" width="14.5703125" style="208" customWidth="1"/>
    <col min="14857" max="15104" width="9.140625" style="208"/>
    <col min="15105" max="15105" width="23.5703125" style="208" customWidth="1"/>
    <col min="15106" max="15106" width="12.7109375" style="208" customWidth="1"/>
    <col min="15107" max="15107" width="52.140625" style="208" bestFit="1" customWidth="1"/>
    <col min="15108" max="15108" width="83" style="208" bestFit="1" customWidth="1"/>
    <col min="15109" max="15109" width="26.140625" style="208" customWidth="1"/>
    <col min="15110" max="15110" width="0" style="208" hidden="1" customWidth="1"/>
    <col min="15111" max="15111" width="10.5703125" style="208" bestFit="1" customWidth="1"/>
    <col min="15112" max="15112" width="14.5703125" style="208" customWidth="1"/>
    <col min="15113" max="15360" width="9.140625" style="208"/>
    <col min="15361" max="15361" width="23.5703125" style="208" customWidth="1"/>
    <col min="15362" max="15362" width="12.7109375" style="208" customWidth="1"/>
    <col min="15363" max="15363" width="52.140625" style="208" bestFit="1" customWidth="1"/>
    <col min="15364" max="15364" width="83" style="208" bestFit="1" customWidth="1"/>
    <col min="15365" max="15365" width="26.140625" style="208" customWidth="1"/>
    <col min="15366" max="15366" width="0" style="208" hidden="1" customWidth="1"/>
    <col min="15367" max="15367" width="10.5703125" style="208" bestFit="1" customWidth="1"/>
    <col min="15368" max="15368" width="14.5703125" style="208" customWidth="1"/>
    <col min="15369" max="15616" width="9.140625" style="208"/>
    <col min="15617" max="15617" width="23.5703125" style="208" customWidth="1"/>
    <col min="15618" max="15618" width="12.7109375" style="208" customWidth="1"/>
    <col min="15619" max="15619" width="52.140625" style="208" bestFit="1" customWidth="1"/>
    <col min="15620" max="15620" width="83" style="208" bestFit="1" customWidth="1"/>
    <col min="15621" max="15621" width="26.140625" style="208" customWidth="1"/>
    <col min="15622" max="15622" width="0" style="208" hidden="1" customWidth="1"/>
    <col min="15623" max="15623" width="10.5703125" style="208" bestFit="1" customWidth="1"/>
    <col min="15624" max="15624" width="14.5703125" style="208" customWidth="1"/>
    <col min="15625" max="15872" width="9.140625" style="208"/>
    <col min="15873" max="15873" width="23.5703125" style="208" customWidth="1"/>
    <col min="15874" max="15874" width="12.7109375" style="208" customWidth="1"/>
    <col min="15875" max="15875" width="52.140625" style="208" bestFit="1" customWidth="1"/>
    <col min="15876" max="15876" width="83" style="208" bestFit="1" customWidth="1"/>
    <col min="15877" max="15877" width="26.140625" style="208" customWidth="1"/>
    <col min="15878" max="15878" width="0" style="208" hidden="1" customWidth="1"/>
    <col min="15879" max="15879" width="10.5703125" style="208" bestFit="1" customWidth="1"/>
    <col min="15880" max="15880" width="14.5703125" style="208" customWidth="1"/>
    <col min="15881" max="16128" width="9.140625" style="208"/>
    <col min="16129" max="16129" width="23.5703125" style="208" customWidth="1"/>
    <col min="16130" max="16130" width="12.7109375" style="208" customWidth="1"/>
    <col min="16131" max="16131" width="52.140625" style="208" bestFit="1" customWidth="1"/>
    <col min="16132" max="16132" width="83" style="208" bestFit="1" customWidth="1"/>
    <col min="16133" max="16133" width="26.140625" style="208" customWidth="1"/>
    <col min="16134" max="16134" width="0" style="208" hidden="1" customWidth="1"/>
    <col min="16135" max="16135" width="10.5703125" style="208" bestFit="1" customWidth="1"/>
    <col min="16136" max="16136" width="14.5703125" style="208" customWidth="1"/>
    <col min="16137" max="16384" width="9.140625" style="208"/>
  </cols>
  <sheetData>
    <row r="1" spans="1:8" s="201" customFormat="1" ht="18.75" x14ac:dyDescent="0.3">
      <c r="A1" s="200" t="s">
        <v>235</v>
      </c>
      <c r="C1" s="202"/>
      <c r="D1" s="203" t="s">
        <v>236</v>
      </c>
      <c r="E1" s="204">
        <v>42961</v>
      </c>
      <c r="F1" s="205"/>
      <c r="G1" s="205"/>
      <c r="H1" s="206"/>
    </row>
    <row r="2" spans="1:8" ht="15" x14ac:dyDescent="0.25">
      <c r="A2" s="207" t="s">
        <v>29</v>
      </c>
    </row>
    <row r="3" spans="1:8" x14ac:dyDescent="0.2">
      <c r="A3" s="210"/>
      <c r="B3" s="210"/>
      <c r="C3" s="209"/>
    </row>
    <row r="4" spans="1:8" ht="13.5" thickBot="1" x14ac:dyDescent="0.25">
      <c r="A4" s="210"/>
      <c r="B4" s="210"/>
      <c r="C4" s="209"/>
    </row>
    <row r="5" spans="1:8" ht="21.75" thickBot="1" x14ac:dyDescent="0.25">
      <c r="A5" s="211"/>
      <c r="B5" s="211"/>
      <c r="C5" s="469" t="s">
        <v>237</v>
      </c>
      <c r="D5" s="470"/>
    </row>
    <row r="6" spans="1:8" ht="13.5" thickBot="1" x14ac:dyDescent="0.25">
      <c r="A6" s="212" t="s">
        <v>238</v>
      </c>
      <c r="B6" s="213" t="s">
        <v>239</v>
      </c>
      <c r="C6" s="213" t="s">
        <v>240</v>
      </c>
      <c r="D6" s="212" t="s">
        <v>241</v>
      </c>
    </row>
    <row r="7" spans="1:8" ht="13.5" thickBot="1" x14ac:dyDescent="0.25">
      <c r="A7" s="471" t="s">
        <v>242</v>
      </c>
      <c r="B7" s="471" t="s">
        <v>178</v>
      </c>
      <c r="C7" s="466" t="s">
        <v>243</v>
      </c>
      <c r="D7" s="214" t="s">
        <v>244</v>
      </c>
    </row>
    <row r="8" spans="1:8" x14ac:dyDescent="0.2">
      <c r="A8" s="472"/>
      <c r="B8" s="472"/>
      <c r="C8" s="467"/>
      <c r="D8" s="215"/>
    </row>
    <row r="9" spans="1:8" ht="13.5" thickBot="1" x14ac:dyDescent="0.25">
      <c r="A9" s="472"/>
      <c r="B9" s="472"/>
      <c r="C9" s="468"/>
      <c r="D9" s="216"/>
    </row>
    <row r="10" spans="1:8" ht="13.5" thickBot="1" x14ac:dyDescent="0.25">
      <c r="A10" s="472"/>
      <c r="B10" s="472"/>
      <c r="C10" s="466" t="s">
        <v>220</v>
      </c>
      <c r="D10" s="212" t="s">
        <v>245</v>
      </c>
    </row>
    <row r="11" spans="1:8" x14ac:dyDescent="0.2">
      <c r="A11" s="472"/>
      <c r="B11" s="472"/>
      <c r="C11" s="467"/>
      <c r="D11" s="217"/>
    </row>
    <row r="12" spans="1:8" ht="13.5" thickBot="1" x14ac:dyDescent="0.25">
      <c r="A12" s="472"/>
      <c r="B12" s="472"/>
      <c r="C12" s="468"/>
      <c r="D12" s="218"/>
    </row>
    <row r="13" spans="1:8" ht="13.5" thickBot="1" x14ac:dyDescent="0.25">
      <c r="A13" s="472"/>
      <c r="B13" s="472"/>
      <c r="C13" s="466" t="s">
        <v>221</v>
      </c>
      <c r="D13" s="212" t="s">
        <v>246</v>
      </c>
    </row>
    <row r="14" spans="1:8" ht="15.75" customHeight="1" x14ac:dyDescent="0.2">
      <c r="A14" s="472"/>
      <c r="B14" s="472"/>
      <c r="C14" s="467"/>
      <c r="D14" s="217"/>
      <c r="E14" s="219"/>
      <c r="F14" s="220"/>
      <c r="G14" s="220"/>
    </row>
    <row r="15" spans="1:8" ht="15.75" customHeight="1" thickBot="1" x14ac:dyDescent="0.25">
      <c r="A15" s="472"/>
      <c r="B15" s="472"/>
      <c r="C15" s="468"/>
      <c r="D15" s="218"/>
      <c r="E15" s="219"/>
      <c r="F15" s="220"/>
      <c r="G15" s="220"/>
    </row>
    <row r="16" spans="1:8" ht="13.5" thickBot="1" x14ac:dyDescent="0.25">
      <c r="A16" s="472"/>
      <c r="B16" s="472"/>
      <c r="C16" s="466" t="s">
        <v>222</v>
      </c>
      <c r="D16" s="212" t="s">
        <v>247</v>
      </c>
    </row>
    <row r="17" spans="1:10" x14ac:dyDescent="0.2">
      <c r="A17" s="472"/>
      <c r="B17" s="472"/>
      <c r="C17" s="467"/>
      <c r="D17" s="217"/>
      <c r="E17" s="208"/>
      <c r="F17" s="208"/>
      <c r="G17" s="208"/>
      <c r="H17" s="208"/>
    </row>
    <row r="18" spans="1:10" ht="15.75" thickBot="1" x14ac:dyDescent="0.3">
      <c r="A18" s="472"/>
      <c r="B18" s="472"/>
      <c r="C18" s="467"/>
      <c r="D18" s="221"/>
      <c r="E18" s="208"/>
      <c r="F18" s="208"/>
      <c r="G18" s="222" t="s">
        <v>248</v>
      </c>
      <c r="H18" s="208"/>
    </row>
    <row r="19" spans="1:10" ht="13.5" thickBot="1" x14ac:dyDescent="0.25">
      <c r="A19" s="472"/>
      <c r="B19" s="472"/>
      <c r="C19" s="471" t="s">
        <v>223</v>
      </c>
      <c r="D19" s="212" t="s">
        <v>249</v>
      </c>
    </row>
    <row r="20" spans="1:10" x14ac:dyDescent="0.2">
      <c r="A20" s="472"/>
      <c r="B20" s="472"/>
      <c r="C20" s="472"/>
      <c r="D20" s="223"/>
    </row>
    <row r="21" spans="1:10" ht="13.5" thickBot="1" x14ac:dyDescent="0.25">
      <c r="A21" s="472"/>
      <c r="B21" s="472"/>
      <c r="C21" s="472"/>
      <c r="D21" s="223"/>
    </row>
    <row r="22" spans="1:10" ht="13.5" thickBot="1" x14ac:dyDescent="0.25">
      <c r="A22" s="472"/>
      <c r="B22" s="472"/>
      <c r="C22" s="471" t="s">
        <v>175</v>
      </c>
      <c r="D22" s="212" t="s">
        <v>250</v>
      </c>
    </row>
    <row r="23" spans="1:10" x14ac:dyDescent="0.2">
      <c r="A23" s="472"/>
      <c r="B23" s="472"/>
      <c r="C23" s="472"/>
      <c r="D23" s="223"/>
    </row>
    <row r="24" spans="1:10" ht="13.5" thickBot="1" x14ac:dyDescent="0.25">
      <c r="A24" s="472"/>
      <c r="B24" s="472"/>
      <c r="C24" s="472"/>
      <c r="D24" s="223"/>
    </row>
    <row r="25" spans="1:10" x14ac:dyDescent="0.2">
      <c r="A25" s="472"/>
      <c r="B25" s="472"/>
      <c r="C25" s="474" t="s">
        <v>163</v>
      </c>
      <c r="D25" s="462" t="s">
        <v>251</v>
      </c>
      <c r="E25" s="208"/>
    </row>
    <row r="26" spans="1:10" ht="13.5" thickBot="1" x14ac:dyDescent="0.25">
      <c r="A26" s="472"/>
      <c r="B26" s="472"/>
      <c r="C26" s="475"/>
      <c r="D26" s="463"/>
    </row>
    <row r="27" spans="1:10" s="227" customFormat="1" ht="21.75" thickBot="1" x14ac:dyDescent="0.4">
      <c r="A27" s="472"/>
      <c r="B27" s="472"/>
      <c r="C27" s="464" t="s">
        <v>252</v>
      </c>
      <c r="D27" s="465"/>
      <c r="E27" s="224"/>
      <c r="F27" s="224"/>
      <c r="G27" s="225"/>
      <c r="H27" s="226"/>
    </row>
    <row r="28" spans="1:10" ht="13.5" thickBot="1" x14ac:dyDescent="0.25">
      <c r="A28" s="472"/>
      <c r="B28" s="472"/>
      <c r="C28" s="212" t="s">
        <v>253</v>
      </c>
      <c r="D28" s="228"/>
      <c r="E28" s="224"/>
      <c r="F28" s="224"/>
      <c r="G28" s="225"/>
      <c r="H28" s="225"/>
    </row>
    <row r="29" spans="1:10" x14ac:dyDescent="0.2">
      <c r="A29" s="472"/>
      <c r="B29" s="472"/>
      <c r="C29" s="229" t="s">
        <v>254</v>
      </c>
      <c r="D29" s="230" t="s">
        <v>178</v>
      </c>
    </row>
    <row r="30" spans="1:10" x14ac:dyDescent="0.2">
      <c r="A30" s="472"/>
      <c r="B30" s="472"/>
      <c r="C30" s="231"/>
      <c r="D30" s="230"/>
    </row>
    <row r="31" spans="1:10" ht="13.5" thickBot="1" x14ac:dyDescent="0.25">
      <c r="A31" s="473"/>
      <c r="B31" s="473"/>
      <c r="C31" s="232"/>
      <c r="D31" s="233"/>
      <c r="H31" s="234"/>
      <c r="I31" s="234"/>
      <c r="J31" s="234"/>
    </row>
    <row r="32" spans="1:10" x14ac:dyDescent="0.2">
      <c r="C32" s="235"/>
      <c r="D32" s="236"/>
      <c r="H32" s="234"/>
      <c r="I32" s="234"/>
      <c r="J32" s="234"/>
    </row>
    <row r="33" spans="3:10" x14ac:dyDescent="0.2">
      <c r="C33" s="237"/>
      <c r="D33" s="236"/>
      <c r="H33" s="234"/>
      <c r="I33" s="234"/>
      <c r="J33" s="234"/>
    </row>
    <row r="34" spans="3:10" x14ac:dyDescent="0.2">
      <c r="C34" s="237"/>
      <c r="D34" s="236"/>
      <c r="H34" s="234"/>
      <c r="I34" s="234"/>
      <c r="J34" s="234"/>
    </row>
    <row r="35" spans="3:10" x14ac:dyDescent="0.2">
      <c r="H35" s="234"/>
      <c r="I35" s="234"/>
      <c r="J35" s="234"/>
    </row>
  </sheetData>
  <mergeCells count="12">
    <mergeCell ref="D25:D26"/>
    <mergeCell ref="C27:D27"/>
    <mergeCell ref="C13:C15"/>
    <mergeCell ref="C5:D5"/>
    <mergeCell ref="A7:A31"/>
    <mergeCell ref="B7:B31"/>
    <mergeCell ref="C7:C9"/>
    <mergeCell ref="C10:C12"/>
    <mergeCell ref="C16:C18"/>
    <mergeCell ref="C19:C21"/>
    <mergeCell ref="C25:C26"/>
    <mergeCell ref="C22:C24"/>
  </mergeCells>
  <hyperlinks>
    <hyperlink ref="E1" r:id="rId1" display="https://cpf.navy.deps.mil/sites/cnap/N42/N422/Shared Documents/Forms/AllItems.aspx?RootFolder=%2Fsites%2Fcnap%2FN42%2FN422%2FShared%20Documents%2FN422C%20NAMP%2FMESMs%20and%20MC%2DFMC%20Goals&amp;FolderCTID=0x012000212BF25147D011499F67519C86833776&amp;View=%7BF" xr:uid="{00000000-0004-0000-0900-000000000000}"/>
    <hyperlink ref="A2" location="Inventory!A1" display="Inventory" xr:uid="{00000000-0004-0000-0900-000001000000}"/>
  </hyperlinks>
  <pageMargins left="0.25" right="0.25" top="0.25" bottom="0.25" header="0.5" footer="0.5"/>
  <pageSetup scale="70" orientation="portrait" horizontalDpi="300" verticalDpi="300" r:id="rId2"/>
  <headerFooter alignWithMargins="0"/>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3"/>
  <sheetViews>
    <sheetView showGridLines="0" zoomScale="120" zoomScaleNormal="120" workbookViewId="0">
      <selection activeCell="B8" sqref="B8"/>
    </sheetView>
  </sheetViews>
  <sheetFormatPr defaultColWidth="11.42578125" defaultRowHeight="15" x14ac:dyDescent="0.25"/>
  <cols>
    <col min="1" max="1" width="10.5703125" style="308" customWidth="1"/>
    <col min="2" max="2" width="82.7109375" style="308" customWidth="1"/>
    <col min="3" max="3" width="15.5703125" style="308" customWidth="1"/>
    <col min="4" max="4" width="10.5703125" style="311" customWidth="1"/>
    <col min="5" max="255" width="11.42578125" style="308"/>
    <col min="256" max="256" width="9.85546875" style="308" bestFit="1" customWidth="1"/>
    <col min="257" max="257" width="82.7109375" style="308" customWidth="1"/>
    <col min="258" max="258" width="12" style="308" bestFit="1" customWidth="1"/>
    <col min="259" max="259" width="8.140625" style="308" customWidth="1"/>
    <col min="260" max="260" width="8.42578125" style="308" customWidth="1"/>
    <col min="261" max="511" width="11.42578125" style="308"/>
    <col min="512" max="512" width="9.85546875" style="308" bestFit="1" customWidth="1"/>
    <col min="513" max="513" width="82.7109375" style="308" customWidth="1"/>
    <col min="514" max="514" width="12" style="308" bestFit="1" customWidth="1"/>
    <col min="515" max="515" width="8.140625" style="308" customWidth="1"/>
    <col min="516" max="516" width="8.42578125" style="308" customWidth="1"/>
    <col min="517" max="767" width="11.42578125" style="308"/>
    <col min="768" max="768" width="9.85546875" style="308" bestFit="1" customWidth="1"/>
    <col min="769" max="769" width="82.7109375" style="308" customWidth="1"/>
    <col min="770" max="770" width="12" style="308" bestFit="1" customWidth="1"/>
    <col min="771" max="771" width="8.140625" style="308" customWidth="1"/>
    <col min="772" max="772" width="8.42578125" style="308" customWidth="1"/>
    <col min="773" max="1023" width="11.42578125" style="308"/>
    <col min="1024" max="1024" width="9.85546875" style="308" bestFit="1" customWidth="1"/>
    <col min="1025" max="1025" width="82.7109375" style="308" customWidth="1"/>
    <col min="1026" max="1026" width="12" style="308" bestFit="1" customWidth="1"/>
    <col min="1027" max="1027" width="8.140625" style="308" customWidth="1"/>
    <col min="1028" max="1028" width="8.42578125" style="308" customWidth="1"/>
    <col min="1029" max="1279" width="11.42578125" style="308"/>
    <col min="1280" max="1280" width="9.85546875" style="308" bestFit="1" customWidth="1"/>
    <col min="1281" max="1281" width="82.7109375" style="308" customWidth="1"/>
    <col min="1282" max="1282" width="12" style="308" bestFit="1" customWidth="1"/>
    <col min="1283" max="1283" width="8.140625" style="308" customWidth="1"/>
    <col min="1284" max="1284" width="8.42578125" style="308" customWidth="1"/>
    <col min="1285" max="1535" width="11.42578125" style="308"/>
    <col min="1536" max="1536" width="9.85546875" style="308" bestFit="1" customWidth="1"/>
    <col min="1537" max="1537" width="82.7109375" style="308" customWidth="1"/>
    <col min="1538" max="1538" width="12" style="308" bestFit="1" customWidth="1"/>
    <col min="1539" max="1539" width="8.140625" style="308" customWidth="1"/>
    <col min="1540" max="1540" width="8.42578125" style="308" customWidth="1"/>
    <col min="1541" max="1791" width="11.42578125" style="308"/>
    <col min="1792" max="1792" width="9.85546875" style="308" bestFit="1" customWidth="1"/>
    <col min="1793" max="1793" width="82.7109375" style="308" customWidth="1"/>
    <col min="1794" max="1794" width="12" style="308" bestFit="1" customWidth="1"/>
    <col min="1795" max="1795" width="8.140625" style="308" customWidth="1"/>
    <col min="1796" max="1796" width="8.42578125" style="308" customWidth="1"/>
    <col min="1797" max="2047" width="11.42578125" style="308"/>
    <col min="2048" max="2048" width="9.85546875" style="308" bestFit="1" customWidth="1"/>
    <col min="2049" max="2049" width="82.7109375" style="308" customWidth="1"/>
    <col min="2050" max="2050" width="12" style="308" bestFit="1" customWidth="1"/>
    <col min="2051" max="2051" width="8.140625" style="308" customWidth="1"/>
    <col min="2052" max="2052" width="8.42578125" style="308" customWidth="1"/>
    <col min="2053" max="2303" width="11.42578125" style="308"/>
    <col min="2304" max="2304" width="9.85546875" style="308" bestFit="1" customWidth="1"/>
    <col min="2305" max="2305" width="82.7109375" style="308" customWidth="1"/>
    <col min="2306" max="2306" width="12" style="308" bestFit="1" customWidth="1"/>
    <col min="2307" max="2307" width="8.140625" style="308" customWidth="1"/>
    <col min="2308" max="2308" width="8.42578125" style="308" customWidth="1"/>
    <col min="2309" max="2559" width="11.42578125" style="308"/>
    <col min="2560" max="2560" width="9.85546875" style="308" bestFit="1" customWidth="1"/>
    <col min="2561" max="2561" width="82.7109375" style="308" customWidth="1"/>
    <col min="2562" max="2562" width="12" style="308" bestFit="1" customWidth="1"/>
    <col min="2563" max="2563" width="8.140625" style="308" customWidth="1"/>
    <col min="2564" max="2564" width="8.42578125" style="308" customWidth="1"/>
    <col min="2565" max="2815" width="11.42578125" style="308"/>
    <col min="2816" max="2816" width="9.85546875" style="308" bestFit="1" customWidth="1"/>
    <col min="2817" max="2817" width="82.7109375" style="308" customWidth="1"/>
    <col min="2818" max="2818" width="12" style="308" bestFit="1" customWidth="1"/>
    <col min="2819" max="2819" width="8.140625" style="308" customWidth="1"/>
    <col min="2820" max="2820" width="8.42578125" style="308" customWidth="1"/>
    <col min="2821" max="3071" width="11.42578125" style="308"/>
    <col min="3072" max="3072" width="9.85546875" style="308" bestFit="1" customWidth="1"/>
    <col min="3073" max="3073" width="82.7109375" style="308" customWidth="1"/>
    <col min="3074" max="3074" width="12" style="308" bestFit="1" customWidth="1"/>
    <col min="3075" max="3075" width="8.140625" style="308" customWidth="1"/>
    <col min="3076" max="3076" width="8.42578125" style="308" customWidth="1"/>
    <col min="3077" max="3327" width="11.42578125" style="308"/>
    <col min="3328" max="3328" width="9.85546875" style="308" bestFit="1" customWidth="1"/>
    <col min="3329" max="3329" width="82.7109375" style="308" customWidth="1"/>
    <col min="3330" max="3330" width="12" style="308" bestFit="1" customWidth="1"/>
    <col min="3331" max="3331" width="8.140625" style="308" customWidth="1"/>
    <col min="3332" max="3332" width="8.42578125" style="308" customWidth="1"/>
    <col min="3333" max="3583" width="11.42578125" style="308"/>
    <col min="3584" max="3584" width="9.85546875" style="308" bestFit="1" customWidth="1"/>
    <col min="3585" max="3585" width="82.7109375" style="308" customWidth="1"/>
    <col min="3586" max="3586" width="12" style="308" bestFit="1" customWidth="1"/>
    <col min="3587" max="3587" width="8.140625" style="308" customWidth="1"/>
    <col min="3588" max="3588" width="8.42578125" style="308" customWidth="1"/>
    <col min="3589" max="3839" width="11.42578125" style="308"/>
    <col min="3840" max="3840" width="9.85546875" style="308" bestFit="1" customWidth="1"/>
    <col min="3841" max="3841" width="82.7109375" style="308" customWidth="1"/>
    <col min="3842" max="3842" width="12" style="308" bestFit="1" customWidth="1"/>
    <col min="3843" max="3843" width="8.140625" style="308" customWidth="1"/>
    <col min="3844" max="3844" width="8.42578125" style="308" customWidth="1"/>
    <col min="3845" max="4095" width="11.42578125" style="308"/>
    <col min="4096" max="4096" width="9.85546875" style="308" bestFit="1" customWidth="1"/>
    <col min="4097" max="4097" width="82.7109375" style="308" customWidth="1"/>
    <col min="4098" max="4098" width="12" style="308" bestFit="1" customWidth="1"/>
    <col min="4099" max="4099" width="8.140625" style="308" customWidth="1"/>
    <col min="4100" max="4100" width="8.42578125" style="308" customWidth="1"/>
    <col min="4101" max="4351" width="11.42578125" style="308"/>
    <col min="4352" max="4352" width="9.85546875" style="308" bestFit="1" customWidth="1"/>
    <col min="4353" max="4353" width="82.7109375" style="308" customWidth="1"/>
    <col min="4354" max="4354" width="12" style="308" bestFit="1" customWidth="1"/>
    <col min="4355" max="4355" width="8.140625" style="308" customWidth="1"/>
    <col min="4356" max="4356" width="8.42578125" style="308" customWidth="1"/>
    <col min="4357" max="4607" width="11.42578125" style="308"/>
    <col min="4608" max="4608" width="9.85546875" style="308" bestFit="1" customWidth="1"/>
    <col min="4609" max="4609" width="82.7109375" style="308" customWidth="1"/>
    <col min="4610" max="4610" width="12" style="308" bestFit="1" customWidth="1"/>
    <col min="4611" max="4611" width="8.140625" style="308" customWidth="1"/>
    <col min="4612" max="4612" width="8.42578125" style="308" customWidth="1"/>
    <col min="4613" max="4863" width="11.42578125" style="308"/>
    <col min="4864" max="4864" width="9.85546875" style="308" bestFit="1" customWidth="1"/>
    <col min="4865" max="4865" width="82.7109375" style="308" customWidth="1"/>
    <col min="4866" max="4866" width="12" style="308" bestFit="1" customWidth="1"/>
    <col min="4867" max="4867" width="8.140625" style="308" customWidth="1"/>
    <col min="4868" max="4868" width="8.42578125" style="308" customWidth="1"/>
    <col min="4869" max="5119" width="11.42578125" style="308"/>
    <col min="5120" max="5120" width="9.85546875" style="308" bestFit="1" customWidth="1"/>
    <col min="5121" max="5121" width="82.7109375" style="308" customWidth="1"/>
    <col min="5122" max="5122" width="12" style="308" bestFit="1" customWidth="1"/>
    <col min="5123" max="5123" width="8.140625" style="308" customWidth="1"/>
    <col min="5124" max="5124" width="8.42578125" style="308" customWidth="1"/>
    <col min="5125" max="5375" width="11.42578125" style="308"/>
    <col min="5376" max="5376" width="9.85546875" style="308" bestFit="1" customWidth="1"/>
    <col min="5377" max="5377" width="82.7109375" style="308" customWidth="1"/>
    <col min="5378" max="5378" width="12" style="308" bestFit="1" customWidth="1"/>
    <col min="5379" max="5379" width="8.140625" style="308" customWidth="1"/>
    <col min="5380" max="5380" width="8.42578125" style="308" customWidth="1"/>
    <col min="5381" max="5631" width="11.42578125" style="308"/>
    <col min="5632" max="5632" width="9.85546875" style="308" bestFit="1" customWidth="1"/>
    <col min="5633" max="5633" width="82.7109375" style="308" customWidth="1"/>
    <col min="5634" max="5634" width="12" style="308" bestFit="1" customWidth="1"/>
    <col min="5635" max="5635" width="8.140625" style="308" customWidth="1"/>
    <col min="5636" max="5636" width="8.42578125" style="308" customWidth="1"/>
    <col min="5637" max="5887" width="11.42578125" style="308"/>
    <col min="5888" max="5888" width="9.85546875" style="308" bestFit="1" customWidth="1"/>
    <col min="5889" max="5889" width="82.7109375" style="308" customWidth="1"/>
    <col min="5890" max="5890" width="12" style="308" bestFit="1" customWidth="1"/>
    <col min="5891" max="5891" width="8.140625" style="308" customWidth="1"/>
    <col min="5892" max="5892" width="8.42578125" style="308" customWidth="1"/>
    <col min="5893" max="6143" width="11.42578125" style="308"/>
    <col min="6144" max="6144" width="9.85546875" style="308" bestFit="1" customWidth="1"/>
    <col min="6145" max="6145" width="82.7109375" style="308" customWidth="1"/>
    <col min="6146" max="6146" width="12" style="308" bestFit="1" customWidth="1"/>
    <col min="6147" max="6147" width="8.140625" style="308" customWidth="1"/>
    <col min="6148" max="6148" width="8.42578125" style="308" customWidth="1"/>
    <col min="6149" max="6399" width="11.42578125" style="308"/>
    <col min="6400" max="6400" width="9.85546875" style="308" bestFit="1" customWidth="1"/>
    <col min="6401" max="6401" width="82.7109375" style="308" customWidth="1"/>
    <col min="6402" max="6402" width="12" style="308" bestFit="1" customWidth="1"/>
    <col min="6403" max="6403" width="8.140625" style="308" customWidth="1"/>
    <col min="6404" max="6404" width="8.42578125" style="308" customWidth="1"/>
    <col min="6405" max="6655" width="11.42578125" style="308"/>
    <col min="6656" max="6656" width="9.85546875" style="308" bestFit="1" customWidth="1"/>
    <col min="6657" max="6657" width="82.7109375" style="308" customWidth="1"/>
    <col min="6658" max="6658" width="12" style="308" bestFit="1" customWidth="1"/>
    <col min="6659" max="6659" width="8.140625" style="308" customWidth="1"/>
    <col min="6660" max="6660" width="8.42578125" style="308" customWidth="1"/>
    <col min="6661" max="6911" width="11.42578125" style="308"/>
    <col min="6912" max="6912" width="9.85546875" style="308" bestFit="1" customWidth="1"/>
    <col min="6913" max="6913" width="82.7109375" style="308" customWidth="1"/>
    <col min="6914" max="6914" width="12" style="308" bestFit="1" customWidth="1"/>
    <col min="6915" max="6915" width="8.140625" style="308" customWidth="1"/>
    <col min="6916" max="6916" width="8.42578125" style="308" customWidth="1"/>
    <col min="6917" max="7167" width="11.42578125" style="308"/>
    <col min="7168" max="7168" width="9.85546875" style="308" bestFit="1" customWidth="1"/>
    <col min="7169" max="7169" width="82.7109375" style="308" customWidth="1"/>
    <col min="7170" max="7170" width="12" style="308" bestFit="1" customWidth="1"/>
    <col min="7171" max="7171" width="8.140625" style="308" customWidth="1"/>
    <col min="7172" max="7172" width="8.42578125" style="308" customWidth="1"/>
    <col min="7173" max="7423" width="11.42578125" style="308"/>
    <col min="7424" max="7424" width="9.85546875" style="308" bestFit="1" customWidth="1"/>
    <col min="7425" max="7425" width="82.7109375" style="308" customWidth="1"/>
    <col min="7426" max="7426" width="12" style="308" bestFit="1" customWidth="1"/>
    <col min="7427" max="7427" width="8.140625" style="308" customWidth="1"/>
    <col min="7428" max="7428" width="8.42578125" style="308" customWidth="1"/>
    <col min="7429" max="7679" width="11.42578125" style="308"/>
    <col min="7680" max="7680" width="9.85546875" style="308" bestFit="1" customWidth="1"/>
    <col min="7681" max="7681" width="82.7109375" style="308" customWidth="1"/>
    <col min="7682" max="7682" width="12" style="308" bestFit="1" customWidth="1"/>
    <col min="7683" max="7683" width="8.140625" style="308" customWidth="1"/>
    <col min="7684" max="7684" width="8.42578125" style="308" customWidth="1"/>
    <col min="7685" max="7935" width="11.42578125" style="308"/>
    <col min="7936" max="7936" width="9.85546875" style="308" bestFit="1" customWidth="1"/>
    <col min="7937" max="7937" width="82.7109375" style="308" customWidth="1"/>
    <col min="7938" max="7938" width="12" style="308" bestFit="1" customWidth="1"/>
    <col min="7939" max="7939" width="8.140625" style="308" customWidth="1"/>
    <col min="7940" max="7940" width="8.42578125" style="308" customWidth="1"/>
    <col min="7941" max="8191" width="11.42578125" style="308"/>
    <col min="8192" max="8192" width="9.85546875" style="308" bestFit="1" customWidth="1"/>
    <col min="8193" max="8193" width="82.7109375" style="308" customWidth="1"/>
    <col min="8194" max="8194" width="12" style="308" bestFit="1" customWidth="1"/>
    <col min="8195" max="8195" width="8.140625" style="308" customWidth="1"/>
    <col min="8196" max="8196" width="8.42578125" style="308" customWidth="1"/>
    <col min="8197" max="8447" width="11.42578125" style="308"/>
    <col min="8448" max="8448" width="9.85546875" style="308" bestFit="1" customWidth="1"/>
    <col min="8449" max="8449" width="82.7109375" style="308" customWidth="1"/>
    <col min="8450" max="8450" width="12" style="308" bestFit="1" customWidth="1"/>
    <col min="8451" max="8451" width="8.140625" style="308" customWidth="1"/>
    <col min="8452" max="8452" width="8.42578125" style="308" customWidth="1"/>
    <col min="8453" max="8703" width="11.42578125" style="308"/>
    <col min="8704" max="8704" width="9.85546875" style="308" bestFit="1" customWidth="1"/>
    <col min="8705" max="8705" width="82.7109375" style="308" customWidth="1"/>
    <col min="8706" max="8706" width="12" style="308" bestFit="1" customWidth="1"/>
    <col min="8707" max="8707" width="8.140625" style="308" customWidth="1"/>
    <col min="8708" max="8708" width="8.42578125" style="308" customWidth="1"/>
    <col min="8709" max="8959" width="11.42578125" style="308"/>
    <col min="8960" max="8960" width="9.85546875" style="308" bestFit="1" customWidth="1"/>
    <col min="8961" max="8961" width="82.7109375" style="308" customWidth="1"/>
    <col min="8962" max="8962" width="12" style="308" bestFit="1" customWidth="1"/>
    <col min="8963" max="8963" width="8.140625" style="308" customWidth="1"/>
    <col min="8964" max="8964" width="8.42578125" style="308" customWidth="1"/>
    <col min="8965" max="9215" width="11.42578125" style="308"/>
    <col min="9216" max="9216" width="9.85546875" style="308" bestFit="1" customWidth="1"/>
    <col min="9217" max="9217" width="82.7109375" style="308" customWidth="1"/>
    <col min="9218" max="9218" width="12" style="308" bestFit="1" customWidth="1"/>
    <col min="9219" max="9219" width="8.140625" style="308" customWidth="1"/>
    <col min="9220" max="9220" width="8.42578125" style="308" customWidth="1"/>
    <col min="9221" max="9471" width="11.42578125" style="308"/>
    <col min="9472" max="9472" width="9.85546875" style="308" bestFit="1" customWidth="1"/>
    <col min="9473" max="9473" width="82.7109375" style="308" customWidth="1"/>
    <col min="9474" max="9474" width="12" style="308" bestFit="1" customWidth="1"/>
    <col min="9475" max="9475" width="8.140625" style="308" customWidth="1"/>
    <col min="9476" max="9476" width="8.42578125" style="308" customWidth="1"/>
    <col min="9477" max="9727" width="11.42578125" style="308"/>
    <col min="9728" max="9728" width="9.85546875" style="308" bestFit="1" customWidth="1"/>
    <col min="9729" max="9729" width="82.7109375" style="308" customWidth="1"/>
    <col min="9730" max="9730" width="12" style="308" bestFit="1" customWidth="1"/>
    <col min="9731" max="9731" width="8.140625" style="308" customWidth="1"/>
    <col min="9732" max="9732" width="8.42578125" style="308" customWidth="1"/>
    <col min="9733" max="9983" width="11.42578125" style="308"/>
    <col min="9984" max="9984" width="9.85546875" style="308" bestFit="1" customWidth="1"/>
    <col min="9985" max="9985" width="82.7109375" style="308" customWidth="1"/>
    <col min="9986" max="9986" width="12" style="308" bestFit="1" customWidth="1"/>
    <col min="9987" max="9987" width="8.140625" style="308" customWidth="1"/>
    <col min="9988" max="9988" width="8.42578125" style="308" customWidth="1"/>
    <col min="9989" max="10239" width="11.42578125" style="308"/>
    <col min="10240" max="10240" width="9.85546875" style="308" bestFit="1" customWidth="1"/>
    <col min="10241" max="10241" width="82.7109375" style="308" customWidth="1"/>
    <col min="10242" max="10242" width="12" style="308" bestFit="1" customWidth="1"/>
    <col min="10243" max="10243" width="8.140625" style="308" customWidth="1"/>
    <col min="10244" max="10244" width="8.42578125" style="308" customWidth="1"/>
    <col min="10245" max="10495" width="11.42578125" style="308"/>
    <col min="10496" max="10496" width="9.85546875" style="308" bestFit="1" customWidth="1"/>
    <col min="10497" max="10497" width="82.7109375" style="308" customWidth="1"/>
    <col min="10498" max="10498" width="12" style="308" bestFit="1" customWidth="1"/>
    <col min="10499" max="10499" width="8.140625" style="308" customWidth="1"/>
    <col min="10500" max="10500" width="8.42578125" style="308" customWidth="1"/>
    <col min="10501" max="10751" width="11.42578125" style="308"/>
    <col min="10752" max="10752" width="9.85546875" style="308" bestFit="1" customWidth="1"/>
    <col min="10753" max="10753" width="82.7109375" style="308" customWidth="1"/>
    <col min="10754" max="10754" width="12" style="308" bestFit="1" customWidth="1"/>
    <col min="10755" max="10755" width="8.140625" style="308" customWidth="1"/>
    <col min="10756" max="10756" width="8.42578125" style="308" customWidth="1"/>
    <col min="10757" max="11007" width="11.42578125" style="308"/>
    <col min="11008" max="11008" width="9.85546875" style="308" bestFit="1" customWidth="1"/>
    <col min="11009" max="11009" width="82.7109375" style="308" customWidth="1"/>
    <col min="11010" max="11010" width="12" style="308" bestFit="1" customWidth="1"/>
    <col min="11011" max="11011" width="8.140625" style="308" customWidth="1"/>
    <col min="11012" max="11012" width="8.42578125" style="308" customWidth="1"/>
    <col min="11013" max="11263" width="11.42578125" style="308"/>
    <col min="11264" max="11264" width="9.85546875" style="308" bestFit="1" customWidth="1"/>
    <col min="11265" max="11265" width="82.7109375" style="308" customWidth="1"/>
    <col min="11266" max="11266" width="12" style="308" bestFit="1" customWidth="1"/>
    <col min="11267" max="11267" width="8.140625" style="308" customWidth="1"/>
    <col min="11268" max="11268" width="8.42578125" style="308" customWidth="1"/>
    <col min="11269" max="11519" width="11.42578125" style="308"/>
    <col min="11520" max="11520" width="9.85546875" style="308" bestFit="1" customWidth="1"/>
    <col min="11521" max="11521" width="82.7109375" style="308" customWidth="1"/>
    <col min="11522" max="11522" width="12" style="308" bestFit="1" customWidth="1"/>
    <col min="11523" max="11523" width="8.140625" style="308" customWidth="1"/>
    <col min="11524" max="11524" width="8.42578125" style="308" customWidth="1"/>
    <col min="11525" max="11775" width="11.42578125" style="308"/>
    <col min="11776" max="11776" width="9.85546875" style="308" bestFit="1" customWidth="1"/>
    <col min="11777" max="11777" width="82.7109375" style="308" customWidth="1"/>
    <col min="11778" max="11778" width="12" style="308" bestFit="1" customWidth="1"/>
    <col min="11779" max="11779" width="8.140625" style="308" customWidth="1"/>
    <col min="11780" max="11780" width="8.42578125" style="308" customWidth="1"/>
    <col min="11781" max="12031" width="11.42578125" style="308"/>
    <col min="12032" max="12032" width="9.85546875" style="308" bestFit="1" customWidth="1"/>
    <col min="12033" max="12033" width="82.7109375" style="308" customWidth="1"/>
    <col min="12034" max="12034" width="12" style="308" bestFit="1" customWidth="1"/>
    <col min="12035" max="12035" width="8.140625" style="308" customWidth="1"/>
    <col min="12036" max="12036" width="8.42578125" style="308" customWidth="1"/>
    <col min="12037" max="12287" width="11.42578125" style="308"/>
    <col min="12288" max="12288" width="9.85546875" style="308" bestFit="1" customWidth="1"/>
    <col min="12289" max="12289" width="82.7109375" style="308" customWidth="1"/>
    <col min="12290" max="12290" width="12" style="308" bestFit="1" customWidth="1"/>
    <col min="12291" max="12291" width="8.140625" style="308" customWidth="1"/>
    <col min="12292" max="12292" width="8.42578125" style="308" customWidth="1"/>
    <col min="12293" max="12543" width="11.42578125" style="308"/>
    <col min="12544" max="12544" width="9.85546875" style="308" bestFit="1" customWidth="1"/>
    <col min="12545" max="12545" width="82.7109375" style="308" customWidth="1"/>
    <col min="12546" max="12546" width="12" style="308" bestFit="1" customWidth="1"/>
    <col min="12547" max="12547" width="8.140625" style="308" customWidth="1"/>
    <col min="12548" max="12548" width="8.42578125" style="308" customWidth="1"/>
    <col min="12549" max="12799" width="11.42578125" style="308"/>
    <col min="12800" max="12800" width="9.85546875" style="308" bestFit="1" customWidth="1"/>
    <col min="12801" max="12801" width="82.7109375" style="308" customWidth="1"/>
    <col min="12802" max="12802" width="12" style="308" bestFit="1" customWidth="1"/>
    <col min="12803" max="12803" width="8.140625" style="308" customWidth="1"/>
    <col min="12804" max="12804" width="8.42578125" style="308" customWidth="1"/>
    <col min="12805" max="13055" width="11.42578125" style="308"/>
    <col min="13056" max="13056" width="9.85546875" style="308" bestFit="1" customWidth="1"/>
    <col min="13057" max="13057" width="82.7109375" style="308" customWidth="1"/>
    <col min="13058" max="13058" width="12" style="308" bestFit="1" customWidth="1"/>
    <col min="13059" max="13059" width="8.140625" style="308" customWidth="1"/>
    <col min="13060" max="13060" width="8.42578125" style="308" customWidth="1"/>
    <col min="13061" max="13311" width="11.42578125" style="308"/>
    <col min="13312" max="13312" width="9.85546875" style="308" bestFit="1" customWidth="1"/>
    <col min="13313" max="13313" width="82.7109375" style="308" customWidth="1"/>
    <col min="13314" max="13314" width="12" style="308" bestFit="1" customWidth="1"/>
    <col min="13315" max="13315" width="8.140625" style="308" customWidth="1"/>
    <col min="13316" max="13316" width="8.42578125" style="308" customWidth="1"/>
    <col min="13317" max="13567" width="11.42578125" style="308"/>
    <col min="13568" max="13568" width="9.85546875" style="308" bestFit="1" customWidth="1"/>
    <col min="13569" max="13569" width="82.7109375" style="308" customWidth="1"/>
    <col min="13570" max="13570" width="12" style="308" bestFit="1" customWidth="1"/>
    <col min="13571" max="13571" width="8.140625" style="308" customWidth="1"/>
    <col min="13572" max="13572" width="8.42578125" style="308" customWidth="1"/>
    <col min="13573" max="13823" width="11.42578125" style="308"/>
    <col min="13824" max="13824" width="9.85546875" style="308" bestFit="1" customWidth="1"/>
    <col min="13825" max="13825" width="82.7109375" style="308" customWidth="1"/>
    <col min="13826" max="13826" width="12" style="308" bestFit="1" customWidth="1"/>
    <col min="13827" max="13827" width="8.140625" style="308" customWidth="1"/>
    <col min="13828" max="13828" width="8.42578125" style="308" customWidth="1"/>
    <col min="13829" max="14079" width="11.42578125" style="308"/>
    <col min="14080" max="14080" width="9.85546875" style="308" bestFit="1" customWidth="1"/>
    <col min="14081" max="14081" width="82.7109375" style="308" customWidth="1"/>
    <col min="14082" max="14082" width="12" style="308" bestFit="1" customWidth="1"/>
    <col min="14083" max="14083" width="8.140625" style="308" customWidth="1"/>
    <col min="14084" max="14084" width="8.42578125" style="308" customWidth="1"/>
    <col min="14085" max="14335" width="11.42578125" style="308"/>
    <col min="14336" max="14336" width="9.85546875" style="308" bestFit="1" customWidth="1"/>
    <col min="14337" max="14337" width="82.7109375" style="308" customWidth="1"/>
    <col min="14338" max="14338" width="12" style="308" bestFit="1" customWidth="1"/>
    <col min="14339" max="14339" width="8.140625" style="308" customWidth="1"/>
    <col min="14340" max="14340" width="8.42578125" style="308" customWidth="1"/>
    <col min="14341" max="14591" width="11.42578125" style="308"/>
    <col min="14592" max="14592" width="9.85546875" style="308" bestFit="1" customWidth="1"/>
    <col min="14593" max="14593" width="82.7109375" style="308" customWidth="1"/>
    <col min="14594" max="14594" width="12" style="308" bestFit="1" customWidth="1"/>
    <col min="14595" max="14595" width="8.140625" style="308" customWidth="1"/>
    <col min="14596" max="14596" width="8.42578125" style="308" customWidth="1"/>
    <col min="14597" max="14847" width="11.42578125" style="308"/>
    <col min="14848" max="14848" width="9.85546875" style="308" bestFit="1" customWidth="1"/>
    <col min="14849" max="14849" width="82.7109375" style="308" customWidth="1"/>
    <col min="14850" max="14850" width="12" style="308" bestFit="1" customWidth="1"/>
    <col min="14851" max="14851" width="8.140625" style="308" customWidth="1"/>
    <col min="14852" max="14852" width="8.42578125" style="308" customWidth="1"/>
    <col min="14853" max="15103" width="11.42578125" style="308"/>
    <col min="15104" max="15104" width="9.85546875" style="308" bestFit="1" customWidth="1"/>
    <col min="15105" max="15105" width="82.7109375" style="308" customWidth="1"/>
    <col min="15106" max="15106" width="12" style="308" bestFit="1" customWidth="1"/>
    <col min="15107" max="15107" width="8.140625" style="308" customWidth="1"/>
    <col min="15108" max="15108" width="8.42578125" style="308" customWidth="1"/>
    <col min="15109" max="15359" width="11.42578125" style="308"/>
    <col min="15360" max="15360" width="9.85546875" style="308" bestFit="1" customWidth="1"/>
    <col min="15361" max="15361" width="82.7109375" style="308" customWidth="1"/>
    <col min="15362" max="15362" width="12" style="308" bestFit="1" customWidth="1"/>
    <col min="15363" max="15363" width="8.140625" style="308" customWidth="1"/>
    <col min="15364" max="15364" width="8.42578125" style="308" customWidth="1"/>
    <col min="15365" max="15615" width="11.42578125" style="308"/>
    <col min="15616" max="15616" width="9.85546875" style="308" bestFit="1" customWidth="1"/>
    <col min="15617" max="15617" width="82.7109375" style="308" customWidth="1"/>
    <col min="15618" max="15618" width="12" style="308" bestFit="1" customWidth="1"/>
    <col min="15619" max="15619" width="8.140625" style="308" customWidth="1"/>
    <col min="15620" max="15620" width="8.42578125" style="308" customWidth="1"/>
    <col min="15621" max="15871" width="11.42578125" style="308"/>
    <col min="15872" max="15872" width="9.85546875" style="308" bestFit="1" customWidth="1"/>
    <col min="15873" max="15873" width="82.7109375" style="308" customWidth="1"/>
    <col min="15874" max="15874" width="12" style="308" bestFit="1" customWidth="1"/>
    <col min="15875" max="15875" width="8.140625" style="308" customWidth="1"/>
    <col min="15876" max="15876" width="8.42578125" style="308" customWidth="1"/>
    <col min="15877" max="16127" width="11.42578125" style="308"/>
    <col min="16128" max="16128" width="9.85546875" style="308" bestFit="1" customWidth="1"/>
    <col min="16129" max="16129" width="82.7109375" style="308" customWidth="1"/>
    <col min="16130" max="16130" width="12" style="308" bestFit="1" customWidth="1"/>
    <col min="16131" max="16131" width="8.140625" style="308" customWidth="1"/>
    <col min="16132" max="16132" width="8.42578125" style="308" customWidth="1"/>
    <col min="16133" max="16384" width="11.42578125" style="308"/>
  </cols>
  <sheetData>
    <row r="1" spans="1:6" x14ac:dyDescent="0.25">
      <c r="A1" s="300" t="s">
        <v>29</v>
      </c>
      <c r="B1" s="309" t="s">
        <v>255</v>
      </c>
      <c r="C1" s="310"/>
    </row>
    <row r="2" spans="1:6" x14ac:dyDescent="0.25">
      <c r="B2" s="312" t="s">
        <v>256</v>
      </c>
      <c r="C2" s="310"/>
    </row>
    <row r="3" spans="1:6" x14ac:dyDescent="0.25">
      <c r="B3" s="310"/>
      <c r="C3" s="310"/>
    </row>
    <row r="4" spans="1:6" ht="30.75" thickBot="1" x14ac:dyDescent="0.3">
      <c r="B4" s="313" t="s">
        <v>257</v>
      </c>
    </row>
    <row r="5" spans="1:6" ht="105.75" thickBot="1" x14ac:dyDescent="0.3">
      <c r="A5" s="314"/>
      <c r="B5" s="315" t="s">
        <v>258</v>
      </c>
      <c r="C5" s="314"/>
      <c r="D5" s="316"/>
    </row>
    <row r="6" spans="1:6" ht="30.75" thickBot="1" x14ac:dyDescent="0.3">
      <c r="A6" s="317" t="s">
        <v>259</v>
      </c>
      <c r="B6" s="318" t="s">
        <v>260</v>
      </c>
      <c r="C6" s="319" t="s">
        <v>261</v>
      </c>
      <c r="D6" s="320" t="s">
        <v>262</v>
      </c>
      <c r="E6" s="321"/>
      <c r="F6" s="321"/>
    </row>
    <row r="7" spans="1:6" ht="30.75" thickBot="1" x14ac:dyDescent="0.3">
      <c r="A7" s="322" t="s">
        <v>263</v>
      </c>
      <c r="B7" s="306" t="s">
        <v>264</v>
      </c>
      <c r="C7" s="323" t="s">
        <v>265</v>
      </c>
      <c r="D7" s="323" t="s">
        <v>265</v>
      </c>
      <c r="E7" s="321"/>
    </row>
    <row r="8" spans="1:6" ht="60.75" thickBot="1" x14ac:dyDescent="0.3">
      <c r="A8" s="324" t="s">
        <v>266</v>
      </c>
      <c r="B8" s="307" t="s">
        <v>267</v>
      </c>
      <c r="C8" s="325" t="s">
        <v>268</v>
      </c>
      <c r="D8" s="326" t="s">
        <v>269</v>
      </c>
      <c r="E8" s="321"/>
    </row>
    <row r="9" spans="1:6" ht="67.5" customHeight="1" thickBot="1" x14ac:dyDescent="0.3">
      <c r="A9" s="327" t="s">
        <v>270</v>
      </c>
      <c r="B9" s="306" t="s">
        <v>271</v>
      </c>
      <c r="C9" s="323" t="s">
        <v>272</v>
      </c>
      <c r="D9" s="323" t="s">
        <v>269</v>
      </c>
      <c r="E9" s="321"/>
    </row>
    <row r="10" spans="1:6" ht="30.75" thickBot="1" x14ac:dyDescent="0.3">
      <c r="A10" s="328" t="s">
        <v>273</v>
      </c>
      <c r="B10" s="307" t="s">
        <v>274</v>
      </c>
      <c r="C10" s="325" t="s">
        <v>275</v>
      </c>
      <c r="D10" s="326" t="s">
        <v>269</v>
      </c>
      <c r="E10" s="321"/>
    </row>
    <row r="11" spans="1:6" ht="105.75" thickBot="1" x14ac:dyDescent="0.3">
      <c r="A11" s="327" t="s">
        <v>276</v>
      </c>
      <c r="B11" s="306" t="s">
        <v>277</v>
      </c>
      <c r="C11" s="323" t="s">
        <v>278</v>
      </c>
      <c r="D11" s="323" t="s">
        <v>269</v>
      </c>
    </row>
    <row r="12" spans="1:6" ht="75.75" thickBot="1" x14ac:dyDescent="0.3">
      <c r="A12" s="324" t="s">
        <v>279</v>
      </c>
      <c r="B12" s="307" t="s">
        <v>280</v>
      </c>
      <c r="C12" s="325" t="s">
        <v>281</v>
      </c>
      <c r="D12" s="326" t="s">
        <v>269</v>
      </c>
    </row>
    <row r="13" spans="1:6" ht="60.75" thickBot="1" x14ac:dyDescent="0.3">
      <c r="A13" s="327" t="s">
        <v>282</v>
      </c>
      <c r="B13" s="306" t="s">
        <v>283</v>
      </c>
      <c r="C13" s="323" t="s">
        <v>284</v>
      </c>
      <c r="D13" s="323" t="s">
        <v>269</v>
      </c>
    </row>
    <row r="14" spans="1:6" ht="60.75" thickBot="1" x14ac:dyDescent="0.3">
      <c r="A14" s="324" t="s">
        <v>285</v>
      </c>
      <c r="B14" s="307" t="s">
        <v>286</v>
      </c>
      <c r="C14" s="329" t="s">
        <v>287</v>
      </c>
      <c r="D14" s="326" t="s">
        <v>288</v>
      </c>
    </row>
    <row r="16" spans="1:6" x14ac:dyDescent="0.25">
      <c r="B16" s="331" t="s">
        <v>4</v>
      </c>
    </row>
    <row r="17" spans="2:2" x14ac:dyDescent="0.25">
      <c r="B17" s="305" t="s">
        <v>289</v>
      </c>
    </row>
    <row r="18" spans="2:2" ht="60" x14ac:dyDescent="0.25">
      <c r="B18" s="304" t="s">
        <v>290</v>
      </c>
    </row>
    <row r="19" spans="2:2" x14ac:dyDescent="0.25">
      <c r="B19" s="305" t="s">
        <v>291</v>
      </c>
    </row>
    <row r="20" spans="2:2" x14ac:dyDescent="0.25">
      <c r="B20" s="305" t="s">
        <v>292</v>
      </c>
    </row>
    <row r="21" spans="2:2" x14ac:dyDescent="0.25">
      <c r="B21" s="305" t="s">
        <v>293</v>
      </c>
    </row>
    <row r="22" spans="2:2" x14ac:dyDescent="0.25">
      <c r="B22" s="321"/>
    </row>
    <row r="23" spans="2:2" x14ac:dyDescent="0.25">
      <c r="B23" s="330"/>
    </row>
  </sheetData>
  <hyperlinks>
    <hyperlink ref="A1" location="Inventory!A1" display="Inventory" xr:uid="{00000000-0004-0000-0A00-000000000000}"/>
  </hyperlinks>
  <pageMargins left="0.75" right="0.75" top="1" bottom="1" header="0.5" footer="0.5"/>
  <pageSetup scale="74" orientation="portrait" r:id="rId1"/>
  <headerFooter alignWithMargins="0">
    <oddHeader>&amp;CExport Controlled Information_x000D_</oddHeader>
    <oddFooter>&amp;CExport Controlled Information_x000D_</oddFooter>
    <evenHeader>&amp;CExport Controlled Information_x000D_</evenHeader>
    <evenFooter>&amp;CExport Controlled Information_x000D_</evenFooter>
    <firstHeader>&amp;CExport Controlled Information_x000D_</firstHeader>
    <firstFooter>&amp;CExport Controlled Information_x000D_</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CDAB2F88775145B114997D7E3EC086" ma:contentTypeVersion="5" ma:contentTypeDescription="Create a new document." ma:contentTypeScope="" ma:versionID="ac8e86be52442a466a4d1d49b35ea697">
  <xsd:schema xmlns:xsd="http://www.w3.org/2001/XMLSchema" xmlns:xs="http://www.w3.org/2001/XMLSchema" xmlns:p="http://schemas.microsoft.com/office/2006/metadata/properties" xmlns:ns2="f33575d1-c635-47cb-9f2e-8b33b5cd6ba3" targetNamespace="http://schemas.microsoft.com/office/2006/metadata/properties" ma:root="true" ma:fieldsID="4f20e3f97fa5e7b089bcd9af969c5083" ns2:_="">
    <xsd:import namespace="f33575d1-c635-47cb-9f2e-8b33b5cd6ba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575d1-c635-47cb-9f2e-8b33b5cd6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047A6760-C8EF-455D-8F91-DFE327A803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575d1-c635-47cb-9f2e-8b33b5cd6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40CD5B-BE1F-479C-A5C4-601728CD2DB8}">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f33575d1-c635-47cb-9f2e-8b33b5cd6ba3"/>
    <ds:schemaRef ds:uri="http://www.w3.org/XML/1998/namespace"/>
  </ds:schemaRefs>
</ds:datastoreItem>
</file>

<file path=customXml/itemProps3.xml><?xml version="1.0" encoding="utf-8"?>
<ds:datastoreItem xmlns:ds="http://schemas.openxmlformats.org/officeDocument/2006/customXml" ds:itemID="{3CE0FED5-32C7-47EA-8243-B2A1D574A9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Inventory</vt:lpstr>
      <vt:lpstr>Log</vt:lpstr>
      <vt:lpstr>VFA 10 Plane F35</vt:lpstr>
      <vt:lpstr>VFA 14 Plane F35</vt:lpstr>
      <vt:lpstr>VFA (F-35C FRS)</vt:lpstr>
      <vt:lpstr>VFA F-35C PDAA</vt:lpstr>
      <vt:lpstr>F-35C Matrix_New</vt:lpstr>
      <vt:lpstr>F-35C Matrix</vt:lpstr>
      <vt:lpstr>F-35C MIssion System Summary</vt:lpstr>
      <vt:lpstr>VFA F-35C Mission Systems</vt:lpstr>
      <vt:lpstr>Definitions</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dc:title>
  <dc:subject/>
  <dc:creator>michael.fleetwood</dc:creator>
  <cp:keywords/>
  <dc:description/>
  <cp:lastModifiedBy>Mark Bodoh</cp:lastModifiedBy>
  <cp:revision/>
  <dcterms:created xsi:type="dcterms:W3CDTF">2011-04-12T20:20:42Z</dcterms:created>
  <dcterms:modified xsi:type="dcterms:W3CDTF">2023-04-05T23:31:18Z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0x010100EBCDAB2F88775145B114997D7E3EC086</vt:lpwstr>
  </property>
  <property fmtid="{D5CDD505-2E9C-101B-9397-08002B2CF9AE}" pid="3" name="_dlc_DocIdItemGuid">
    <vt:lpwstr>0b9ffb14-04d9-4335-ae71-69e8ee610615</vt:lpwstr>
  </property>
  <property fmtid="{D5CDD505-2E9C-101B-9397-08002B2CF9AE}" pid="4" name="Order">
    <vt:r8>28300</vt:r8>
  </property>
  <property fmtid="{D5CDD505-2E9C-101B-9397-08002B2CF9AE}" pid="5" name="MSIP_Label_afe64f26-154f-4743-927e-a7310aa86873_Enabled">
    <vt:lpwstr>true</vt:lpwstr>
  </property>
  <property fmtid="{D5CDD505-2E9C-101B-9397-08002B2CF9AE}" pid="6" name="MSIP_Label_afe64f26-154f-4743-927e-a7310aa86873_SetDate">
    <vt:lpwstr>2023-04-05T23:30:08Z</vt:lpwstr>
  </property>
  <property fmtid="{D5CDD505-2E9C-101B-9397-08002B2CF9AE}" pid="7" name="MSIP_Label_afe64f26-154f-4743-927e-a7310aa86873_Method">
    <vt:lpwstr>Privileged</vt:lpwstr>
  </property>
  <property fmtid="{D5CDD505-2E9C-101B-9397-08002B2CF9AE}" pid="8" name="MSIP_Label_afe64f26-154f-4743-927e-a7310aa86873_Name">
    <vt:lpwstr>GovernmentData</vt:lpwstr>
  </property>
  <property fmtid="{D5CDD505-2E9C-101B-9397-08002B2CF9AE}" pid="9" name="MSIP_Label_afe64f26-154f-4743-927e-a7310aa86873_SiteId">
    <vt:lpwstr>29ac9fa0-83e8-40a8-914f-a74b1c9c46d0</vt:lpwstr>
  </property>
  <property fmtid="{D5CDD505-2E9C-101B-9397-08002B2CF9AE}" pid="10" name="MSIP_Label_afe64f26-154f-4743-927e-a7310aa86873_ActionId">
    <vt:lpwstr>e407716c-6fcb-456b-8f27-975044d26ca5</vt:lpwstr>
  </property>
  <property fmtid="{D5CDD505-2E9C-101B-9397-08002B2CF9AE}" pid="11" name="MSIP_Label_afe64f26-154f-4743-927e-a7310aa86873_ContentBits">
    <vt:lpwstr>0</vt:lpwstr>
  </property>
</Properties>
</file>